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revisions/revisionHeaders.xml" ContentType="application/vnd.openxmlformats-officedocument.spreadsheetml.revisionHeader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workbookProtection lockStructure="1"/>
  <bookViews>
    <workbookView xWindow="0" yWindow="45" windowWidth="19200" windowHeight="11760" activeTab="8"/>
  </bookViews>
  <sheets>
    <sheet name="Questionnaire" sheetId="1" r:id="rId1"/>
    <sheet name="Data Reliability" sheetId="2" r:id="rId2"/>
    <sheet name="Governance" sheetId="3" r:id="rId3"/>
    <sheet name="Gender" sheetId="4" r:id="rId4"/>
    <sheet name="Indicators" sheetId="5" r:id="rId5"/>
    <sheet name="Calculated Factors" sheetId="6" r:id="rId6"/>
    <sheet name="Reference Unit Conversion" sheetId="7" r:id="rId7"/>
    <sheet name="Tariff Schedule and Taxes" sheetId="8" r:id="rId8"/>
    <sheet name="Currency Conversion" sheetId="9" r:id="rId9"/>
  </sheets>
  <externalReferences>
    <externalReference r:id="rId10"/>
    <externalReference r:id="rId11"/>
  </externalReferences>
  <definedNames>
    <definedName name="_xlnm.Print_Area" localSheetId="5">'Calculated Factors'!$A$1:$I$62</definedName>
    <definedName name="_xlnm.Print_Area" localSheetId="8">'Currency Conversion'!$A$1:$J$41</definedName>
    <definedName name="_xlnm.Print_Area" localSheetId="1">'Data Reliability'!$A$1:$E$64</definedName>
    <definedName name="_xlnm.Print_Area" localSheetId="4">Indicators!$A$1:$I$116</definedName>
    <definedName name="_xlnm.Print_Area" localSheetId="0">Questionnaire!$A$5:$K$57,Questionnaire!$A$72:$K$315</definedName>
    <definedName name="_xlnm.Print_Area" localSheetId="6">'Reference Unit Conversion'!$B$2:$N$22</definedName>
    <definedName name="ValidYesNo" localSheetId="5">[1]Questionnaire!$M$8:$M$9</definedName>
    <definedName name="ValidYesNo" localSheetId="8">[2]Questionnaire!$M$8:$M$9</definedName>
    <definedName name="ValidYesNo" localSheetId="4">[1]Questionnaire!$M$8:$M$9</definedName>
    <definedName name="ValidYesNo">Questionnaire!$M$8:$M$9</definedName>
    <definedName name="Z_70876BBE_780D_4266_8AA2_8D4502B62343_.wvu.Cols" localSheetId="5" hidden="1">'Calculated Factors'!$D:$D</definedName>
    <definedName name="Z_70876BBE_780D_4266_8AA2_8D4502B62343_.wvu.Cols" localSheetId="4" hidden="1">Indicators!$C:$C,Indicators!$G:$G</definedName>
    <definedName name="Z_70876BBE_780D_4266_8AA2_8D4502B62343_.wvu.PrintArea" localSheetId="5" hidden="1">'Calculated Factors'!$A$1:$I$62</definedName>
    <definedName name="Z_70876BBE_780D_4266_8AA2_8D4502B62343_.wvu.PrintArea" localSheetId="8" hidden="1">'Currency Conversion'!$A$1:$J$41</definedName>
    <definedName name="Z_70876BBE_780D_4266_8AA2_8D4502B62343_.wvu.PrintArea" localSheetId="1" hidden="1">'Data Reliability'!$A$1:$E$64</definedName>
    <definedName name="Z_70876BBE_780D_4266_8AA2_8D4502B62343_.wvu.PrintArea" localSheetId="4" hidden="1">Indicators!$A$1:$I$116</definedName>
    <definedName name="Z_70876BBE_780D_4266_8AA2_8D4502B62343_.wvu.PrintArea" localSheetId="0" hidden="1">Questionnaire!$A$5:$K$57,Questionnaire!$A$72:$K$315</definedName>
    <definedName name="Z_70876BBE_780D_4266_8AA2_8D4502B62343_.wvu.PrintArea" localSheetId="6" hidden="1">'Reference Unit Conversion'!$B$2:$N$22</definedName>
    <definedName name="Z_70876BBE_780D_4266_8AA2_8D4502B62343_.wvu.Rows" localSheetId="1" hidden="1">'Data Reliability'!$8:$8</definedName>
    <definedName name="Z_70876BBE_780D_4266_8AA2_8D4502B62343_.wvu.Rows" localSheetId="0" hidden="1">Questionnaire!$237:$237,Questionnaire!$287:$289</definedName>
    <definedName name="Z_9105A0FE_F516_45E7_BB15_EE4CC4A8DCAA_.wvu.Cols" localSheetId="5" hidden="1">'Calculated Factors'!$D:$D</definedName>
    <definedName name="Z_9105A0FE_F516_45E7_BB15_EE4CC4A8DCAA_.wvu.Cols" localSheetId="4" hidden="1">Indicators!$C:$C,Indicators!$G:$G</definedName>
    <definedName name="Z_9105A0FE_F516_45E7_BB15_EE4CC4A8DCAA_.wvu.PrintArea" localSheetId="5" hidden="1">'Calculated Factors'!$A$1:$I$62</definedName>
    <definedName name="Z_9105A0FE_F516_45E7_BB15_EE4CC4A8DCAA_.wvu.PrintArea" localSheetId="8" hidden="1">'Currency Conversion'!$A$1:$J$41</definedName>
    <definedName name="Z_9105A0FE_F516_45E7_BB15_EE4CC4A8DCAA_.wvu.PrintArea" localSheetId="1" hidden="1">'Data Reliability'!$A$1:$E$64</definedName>
    <definedName name="Z_9105A0FE_F516_45E7_BB15_EE4CC4A8DCAA_.wvu.PrintArea" localSheetId="4" hidden="1">Indicators!$A$1:$I$116</definedName>
    <definedName name="Z_9105A0FE_F516_45E7_BB15_EE4CC4A8DCAA_.wvu.PrintArea" localSheetId="0" hidden="1">Questionnaire!$A$5:$K$57,Questionnaire!$A$72:$K$315</definedName>
    <definedName name="Z_9105A0FE_F516_45E7_BB15_EE4CC4A8DCAA_.wvu.PrintArea" localSheetId="6" hidden="1">'Reference Unit Conversion'!$B$2:$N$22</definedName>
    <definedName name="Z_9105A0FE_F516_45E7_BB15_EE4CC4A8DCAA_.wvu.Rows" localSheetId="1" hidden="1">'Data Reliability'!$8:$8</definedName>
    <definedName name="Z_9105A0FE_F516_45E7_BB15_EE4CC4A8DCAA_.wvu.Rows" localSheetId="0" hidden="1">Questionnaire!$237:$237,Questionnaire!$287:$289</definedName>
    <definedName name="Z_9FA5A1E5_0041_4CF2_96F3_E68C0E78B62E_.wvu.Cols" localSheetId="5" hidden="1">'Calculated Factors'!$D:$D</definedName>
    <definedName name="Z_9FA5A1E5_0041_4CF2_96F3_E68C0E78B62E_.wvu.Cols" localSheetId="4" hidden="1">Indicators!$C:$C,Indicators!$G:$G</definedName>
    <definedName name="Z_9FA5A1E5_0041_4CF2_96F3_E68C0E78B62E_.wvu.PrintArea" localSheetId="5" hidden="1">'Calculated Factors'!$A$1:$I$62</definedName>
    <definedName name="Z_9FA5A1E5_0041_4CF2_96F3_E68C0E78B62E_.wvu.PrintArea" localSheetId="8" hidden="1">'Currency Conversion'!$A$1:$J$41</definedName>
    <definedName name="Z_9FA5A1E5_0041_4CF2_96F3_E68C0E78B62E_.wvu.PrintArea" localSheetId="1" hidden="1">'Data Reliability'!$A$1:$E$64</definedName>
    <definedName name="Z_9FA5A1E5_0041_4CF2_96F3_E68C0E78B62E_.wvu.PrintArea" localSheetId="4" hidden="1">Indicators!$A$1:$I$116</definedName>
    <definedName name="Z_9FA5A1E5_0041_4CF2_96F3_E68C0E78B62E_.wvu.PrintArea" localSheetId="0" hidden="1">Questionnaire!$A$5:$K$57,Questionnaire!$A$72:$K$315</definedName>
    <definedName name="Z_9FA5A1E5_0041_4CF2_96F3_E68C0E78B62E_.wvu.PrintArea" localSheetId="6" hidden="1">'Reference Unit Conversion'!$B$2:$N$22</definedName>
    <definedName name="Z_9FA5A1E5_0041_4CF2_96F3_E68C0E78B62E_.wvu.Rows" localSheetId="1" hidden="1">'Data Reliability'!$8:$8</definedName>
    <definedName name="Z_9FA5A1E5_0041_4CF2_96F3_E68C0E78B62E_.wvu.Rows" localSheetId="0" hidden="1">Questionnaire!$237:$237,Questionnaire!$287:$289</definedName>
  </definedNames>
  <calcPr calcId="124519"/>
  <customWorkbookViews>
    <customWorkbookView name="Greg - Personal View" guid="{9FA5A1E5-0041-4CF2-96F3-E68C0E78B62E}" mergeInterval="0" personalView="1" maximized="1" xWindow="1" yWindow="1" windowWidth="1920" windowHeight="850" activeSheetId="9"/>
    <customWorkbookView name="Gerardo Protacio - Personal View" guid="{9105A0FE-F516-45E7-BB15-EE4CC4A8DCAA}" mergeInterval="0" personalView="1" maximized="1" windowWidth="1362" windowHeight="542" activeSheetId="5"/>
    <customWorkbookView name="KUAENGR - Personal View" guid="{70876BBE-780D-4266-8AA2-8D4502B62343}" mergeInterval="0" personalView="1" maximized="1" windowWidth="1916" windowHeight="942" activeSheetId="1"/>
  </customWorkbookViews>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F233" i="1"/>
  <c r="C12" i="4"/>
  <c r="E95" i="5"/>
  <c r="F19" i="6"/>
  <c r="E94" i="5" s="1"/>
  <c r="E93"/>
  <c r="E92"/>
  <c r="E20" i="6"/>
  <c r="G294" i="1"/>
  <c r="G268"/>
  <c r="G269"/>
  <c r="G270"/>
  <c r="G271"/>
  <c r="G272"/>
  <c r="G273"/>
  <c r="G274"/>
  <c r="G275"/>
  <c r="G276"/>
  <c r="G277"/>
  <c r="G278"/>
  <c r="G279"/>
  <c r="G280"/>
  <c r="G281"/>
  <c r="F26" i="6"/>
  <c r="F25"/>
  <c r="F24"/>
  <c r="H10" i="9"/>
  <c r="I10"/>
  <c r="H11"/>
  <c r="I11"/>
  <c r="H12"/>
  <c r="I12"/>
  <c r="H13"/>
  <c r="I13"/>
  <c r="H14"/>
  <c r="I14"/>
  <c r="H15"/>
  <c r="I15"/>
  <c r="H20"/>
  <c r="I20"/>
  <c r="H21"/>
  <c r="I21"/>
  <c r="H22"/>
  <c r="I22"/>
  <c r="H24"/>
  <c r="I24"/>
  <c r="H26"/>
  <c r="I26"/>
  <c r="H27"/>
  <c r="I27"/>
  <c r="H28"/>
  <c r="I28"/>
  <c r="H29"/>
  <c r="I29"/>
  <c r="H30"/>
  <c r="I30"/>
  <c r="E11" i="6"/>
  <c r="C215" i="1"/>
  <c r="G215"/>
  <c r="C310"/>
  <c r="C308"/>
  <c r="C307"/>
  <c r="C302"/>
  <c r="C295"/>
  <c r="C293"/>
  <c r="C292"/>
  <c r="C301"/>
  <c r="C294"/>
  <c r="C281"/>
  <c r="C280"/>
  <c r="C279"/>
  <c r="C278"/>
  <c r="C277"/>
  <c r="C276"/>
  <c r="C275"/>
  <c r="C274"/>
  <c r="C273"/>
  <c r="C272"/>
  <c r="C271"/>
  <c r="C270"/>
  <c r="C269"/>
  <c r="C268"/>
  <c r="F226"/>
  <c r="F227"/>
  <c r="F28" i="6"/>
  <c r="E108" i="5" s="1"/>
  <c r="F40" i="6"/>
  <c r="D98" i="5" s="1"/>
  <c r="G192" i="1"/>
  <c r="G187"/>
  <c r="F18" i="6"/>
  <c r="E18"/>
  <c r="D44" i="5" s="1"/>
  <c r="F244" i="1"/>
  <c r="F243"/>
  <c r="F241"/>
  <c r="F240"/>
  <c r="H244"/>
  <c r="H243"/>
  <c r="D31" i="5"/>
  <c r="D30"/>
  <c r="E23"/>
  <c r="E87"/>
  <c r="E67"/>
  <c r="E65"/>
  <c r="E64"/>
  <c r="E62"/>
  <c r="E40" i="6"/>
  <c r="E39"/>
  <c r="E73" i="5"/>
  <c r="E72"/>
  <c r="F23" i="6"/>
  <c r="F22"/>
  <c r="E85" i="5"/>
  <c r="E22" i="6"/>
  <c r="E37"/>
  <c r="E96" i="5"/>
  <c r="E97"/>
  <c r="G310" i="1"/>
  <c r="G308"/>
  <c r="G307"/>
  <c r="G302"/>
  <c r="G301"/>
  <c r="G295"/>
  <c r="J294"/>
  <c r="G293"/>
  <c r="G292"/>
  <c r="E56" i="6"/>
  <c r="G56" s="1"/>
  <c r="E53"/>
  <c r="F53" s="1"/>
  <c r="E13" s="1"/>
  <c r="D10" i="5" s="1"/>
  <c r="E54" i="6"/>
  <c r="F54" s="1"/>
  <c r="E55"/>
  <c r="F55" s="1"/>
  <c r="E52"/>
  <c r="D50" i="5"/>
  <c r="D53"/>
  <c r="E98"/>
  <c r="D43"/>
  <c r="D42" s="1"/>
  <c r="E106"/>
  <c r="E111"/>
  <c r="E102"/>
  <c r="E100"/>
  <c r="E110"/>
  <c r="E101"/>
  <c r="E109"/>
  <c r="E105"/>
  <c r="D46"/>
  <c r="E80"/>
  <c r="F39" i="6"/>
  <c r="E63" i="5" s="1"/>
  <c r="D80"/>
  <c r="E83"/>
  <c r="E84"/>
  <c r="E82"/>
  <c r="E86"/>
  <c r="E81"/>
  <c r="G53" i="6"/>
  <c r="F10"/>
  <c r="E10"/>
  <c r="F5"/>
  <c r="E5"/>
  <c r="F4"/>
  <c r="E14" i="5" s="1"/>
  <c r="E4" i="6"/>
  <c r="D15" i="5" s="1"/>
  <c r="F8" i="6"/>
  <c r="F9" s="1"/>
  <c r="F15"/>
  <c r="E8"/>
  <c r="E9" s="1"/>
  <c r="E14"/>
  <c r="E16" s="1"/>
  <c r="E58"/>
  <c r="E49"/>
  <c r="G49" s="1"/>
  <c r="E48"/>
  <c r="G48" s="1"/>
  <c r="E47"/>
  <c r="G47" s="1"/>
  <c r="E46"/>
  <c r="G46" s="1"/>
  <c r="E45"/>
  <c r="G45" s="1"/>
  <c r="E62"/>
  <c r="F62"/>
  <c r="E60"/>
  <c r="F60"/>
  <c r="D29" i="5" s="1"/>
  <c r="F21" i="6"/>
  <c r="F20"/>
  <c r="E15"/>
  <c r="G19"/>
  <c r="F11"/>
  <c r="E11" i="5" s="1"/>
  <c r="J100" i="1"/>
  <c r="J99"/>
  <c r="J98"/>
  <c r="J97"/>
  <c r="J96"/>
  <c r="J95"/>
  <c r="J94"/>
  <c r="J93"/>
  <c r="G58" i="6"/>
  <c r="F58"/>
  <c r="E103" i="5"/>
  <c r="E107"/>
  <c r="F48" i="6"/>
  <c r="F46"/>
  <c r="E32"/>
  <c r="D40" i="5"/>
  <c r="F17" i="6"/>
  <c r="E79" i="5"/>
  <c r="C17" i="7"/>
  <c r="J111" i="1"/>
  <c r="G168"/>
  <c r="G164"/>
  <c r="G181"/>
  <c r="G182"/>
  <c r="G180"/>
  <c r="G186"/>
  <c r="C289"/>
  <c r="J289"/>
  <c r="C288"/>
  <c r="J288"/>
  <c r="G250"/>
  <c r="G257"/>
  <c r="J115"/>
  <c r="G217"/>
  <c r="G216"/>
  <c r="J238"/>
  <c r="H240"/>
  <c r="H241"/>
  <c r="G246"/>
  <c r="G247"/>
  <c r="F27" i="6"/>
  <c r="G253" i="1"/>
  <c r="G254"/>
  <c r="G255"/>
  <c r="G256"/>
  <c r="G258"/>
  <c r="G232"/>
  <c r="G191"/>
  <c r="G184"/>
  <c r="G179"/>
  <c r="G170"/>
  <c r="G167"/>
  <c r="G163"/>
  <c r="J114"/>
  <c r="J151"/>
  <c r="J231"/>
  <c r="J147"/>
  <c r="J146"/>
  <c r="J145"/>
  <c r="J143"/>
  <c r="J142"/>
  <c r="J141"/>
  <c r="J121"/>
  <c r="J120"/>
  <c r="J119"/>
  <c r="J118"/>
  <c r="J117"/>
  <c r="J116"/>
  <c r="J113"/>
  <c r="J112"/>
  <c r="J108"/>
  <c r="J107"/>
  <c r="J106"/>
  <c r="J105"/>
  <c r="J104"/>
  <c r="J103"/>
  <c r="J102"/>
  <c r="J101"/>
  <c r="J92"/>
  <c r="J91"/>
  <c r="J90"/>
  <c r="J89"/>
  <c r="J88"/>
  <c r="J87"/>
  <c r="J86"/>
  <c r="J85"/>
  <c r="J84"/>
  <c r="J82"/>
  <c r="J81"/>
  <c r="J80"/>
  <c r="J79"/>
  <c r="J78"/>
  <c r="E38" i="5"/>
  <c r="E74"/>
  <c r="G52" i="6"/>
  <c r="F52"/>
  <c r="F14"/>
  <c r="F16"/>
  <c r="E3"/>
  <c r="D17" i="5"/>
  <c r="D8"/>
  <c r="D11"/>
  <c r="D49"/>
  <c r="D48" s="1"/>
  <c r="D47"/>
  <c r="D45"/>
  <c r="D55" s="1"/>
  <c r="D52"/>
  <c r="D51"/>
  <c r="D5"/>
  <c r="D18"/>
  <c r="D20"/>
  <c r="D39"/>
  <c r="D41"/>
  <c r="D16"/>
  <c r="D22"/>
  <c r="G54" i="6"/>
  <c r="F56"/>
  <c r="D19" i="5"/>
  <c r="E6" i="6"/>
  <c r="D36" i="5" s="1"/>
  <c r="D37" s="1"/>
  <c r="D28"/>
  <c r="E15"/>
  <c r="F3" i="6"/>
  <c r="D21" i="5"/>
  <c r="E8"/>
  <c r="E21"/>
  <c r="E20"/>
  <c r="E5"/>
  <c r="E16"/>
  <c r="F6" i="6"/>
  <c r="E36" i="5" s="1"/>
  <c r="E18"/>
  <c r="E22"/>
  <c r="E17"/>
  <c r="E19"/>
  <c r="E7" l="1"/>
  <c r="E6"/>
  <c r="E13"/>
  <c r="F7" i="6"/>
  <c r="E12" i="5"/>
  <c r="F12" i="6"/>
  <c r="E9" i="5" s="1"/>
  <c r="D12"/>
  <c r="D13"/>
  <c r="E7" i="6"/>
  <c r="D7" i="5"/>
  <c r="D6"/>
  <c r="D54"/>
  <c r="F45" i="6"/>
  <c r="F49"/>
  <c r="G55"/>
  <c r="F13" s="1"/>
  <c r="E10" i="5" s="1"/>
  <c r="E104"/>
  <c r="E112" s="1"/>
  <c r="F47" i="6"/>
  <c r="E12" l="1"/>
  <c r="D9" i="5" s="1"/>
</calcChain>
</file>

<file path=xl/comments1.xml><?xml version="1.0" encoding="utf-8"?>
<comments xmlns="http://schemas.openxmlformats.org/spreadsheetml/2006/main">
  <authors>
    <author>Pauline</author>
  </authors>
  <commentList>
    <comment ref="B20" authorId="0" guid="{12189E5F-77B6-4BD9-B2BD-99B8B8BD2D80}">
      <text>
        <r>
          <rPr>
            <b/>
            <sz val="9"/>
            <color indexed="81"/>
            <rFont val="Tahoma"/>
            <family val="2"/>
          </rPr>
          <t>Pauline:</t>
        </r>
        <r>
          <rPr>
            <sz val="9"/>
            <color indexed="81"/>
            <rFont val="Tahoma"/>
            <family val="2"/>
          </rPr>
          <t xml:space="preserve">
Is this attached?
</t>
        </r>
      </text>
    </comment>
  </commentList>
</comments>
</file>

<file path=xl/comments2.xml><?xml version="1.0" encoding="utf-8"?>
<comments xmlns="http://schemas.openxmlformats.org/spreadsheetml/2006/main">
  <authors>
    <author>Pauline</author>
  </authors>
  <commentList>
    <comment ref="H62" authorId="0" guid="{E54DC435-3E99-48A0-9085-8CE6E8A0E2A3}">
      <text>
        <r>
          <rPr>
            <b/>
            <sz val="9"/>
            <color indexed="81"/>
            <rFont val="Tahoma"/>
            <family val="2"/>
          </rPr>
          <t>Pauline:</t>
        </r>
        <r>
          <rPr>
            <sz val="9"/>
            <color indexed="81"/>
            <rFont val="Tahoma"/>
            <family val="2"/>
          </rPr>
          <t xml:space="preserve">
Have activities stopped 
now?</t>
        </r>
      </text>
    </comment>
  </commentList>
</comments>
</file>

<file path=xl/comments3.xml><?xml version="1.0" encoding="utf-8"?>
<comments xmlns="http://schemas.openxmlformats.org/spreadsheetml/2006/main">
  <authors>
    <author>Pauline</author>
  </authors>
  <commentList>
    <comment ref="B7" authorId="0" guid="{0611A3D1-554E-49AC-A399-68E2564EC653}">
      <text>
        <r>
          <rPr>
            <b/>
            <sz val="9"/>
            <color indexed="81"/>
            <rFont val="Tahoma"/>
            <family val="2"/>
          </rPr>
          <t>Pauline:</t>
        </r>
        <r>
          <rPr>
            <sz val="9"/>
            <color indexed="81"/>
            <rFont val="Tahoma"/>
            <family val="2"/>
          </rPr>
          <t xml:space="preserve">
should this include ipps?
</t>
        </r>
      </text>
    </comment>
    <comment ref="C11" authorId="0" guid="{7F8D00AC-9433-487D-A68B-CCBCE429B775}">
      <text>
        <r>
          <rPr>
            <b/>
            <sz val="9"/>
            <color indexed="81"/>
            <rFont val="Tahoma"/>
            <family val="2"/>
          </rPr>
          <t>Pauline:</t>
        </r>
        <r>
          <rPr>
            <sz val="9"/>
            <color indexed="81"/>
            <rFont val="Tahoma"/>
            <family val="2"/>
          </rPr>
          <t xml:space="preserve">
Not incl LNG
</t>
        </r>
      </text>
    </comment>
    <comment ref="G14" authorId="0" guid="{8952DF5D-139D-4665-9759-461D8EA6A62C}">
      <text>
        <r>
          <rPr>
            <b/>
            <sz val="9"/>
            <color indexed="81"/>
            <rFont val="Tahoma"/>
            <family val="2"/>
          </rPr>
          <t>Pauline:</t>
        </r>
        <r>
          <rPr>
            <sz val="9"/>
            <color indexed="81"/>
            <rFont val="Tahoma"/>
            <family val="2"/>
          </rPr>
          <t xml:space="preserve">
these were in h but I change to MWh, as for TOTAL
</t>
        </r>
      </text>
    </comment>
    <comment ref="C21" authorId="0" guid="{3CB82FD8-BAB1-436F-8438-4E03AFFC54A9}">
      <text>
        <r>
          <rPr>
            <b/>
            <sz val="9"/>
            <color indexed="81"/>
            <rFont val="Tahoma"/>
            <family val="2"/>
          </rPr>
          <t>Pauline:</t>
        </r>
        <r>
          <rPr>
            <sz val="9"/>
            <color indexed="81"/>
            <rFont val="Tahoma"/>
            <family val="2"/>
          </rPr>
          <t xml:space="preserve">
Is lifeline not shown in domestic? Ie we should add lifeline to domestic to get the total electricity? 
</t>
        </r>
      </text>
    </comment>
    <comment ref="F21" authorId="0" guid="{6FA2C685-3B25-47C2-9C18-DD6726B8B6D9}">
      <text>
        <r>
          <rPr>
            <b/>
            <sz val="9"/>
            <color indexed="81"/>
            <rFont val="Tahoma"/>
            <family val="2"/>
          </rPr>
          <t>Pauline:</t>
        </r>
        <r>
          <rPr>
            <sz val="9"/>
            <color indexed="81"/>
            <rFont val="Tahoma"/>
            <family val="2"/>
          </rPr>
          <t xml:space="preserve">
this was prev divided by 1000 but I took it out
</t>
        </r>
      </text>
    </comment>
    <comment ref="F37" authorId="0" guid="{9560997D-1FA5-4606-891E-A9767A2489C5}">
      <text>
        <r>
          <rPr>
            <b/>
            <sz val="9"/>
            <color indexed="81"/>
            <rFont val="Tahoma"/>
            <family val="2"/>
          </rPr>
          <t>Pauline:</t>
        </r>
        <r>
          <rPr>
            <sz val="9"/>
            <color indexed="81"/>
            <rFont val="Tahoma"/>
            <family val="2"/>
          </rPr>
          <t xml:space="preserve">
This formula is in development; 
Need to add the rest of the currencies to this formula once the conversion methodology is finalised. Link the currencies to a new worksheet, so they can be easily updated.
</t>
        </r>
      </text>
    </comment>
  </commentList>
</comments>
</file>

<file path=xl/comments4.xml><?xml version="1.0" encoding="utf-8"?>
<comments xmlns="http://schemas.openxmlformats.org/spreadsheetml/2006/main">
  <authors>
    <author>Pauline</author>
  </authors>
  <commentList>
    <comment ref="F5" authorId="0" guid="{DE82DE35-EC3B-4181-8456-AA1192FE74AC}">
      <text>
        <r>
          <rPr>
            <b/>
            <sz val="9"/>
            <color indexed="81"/>
            <rFont val="Tahoma"/>
            <family val="2"/>
          </rPr>
          <t>Pauline:</t>
        </r>
        <r>
          <rPr>
            <sz val="9"/>
            <color indexed="81"/>
            <rFont val="Tahoma"/>
            <family val="2"/>
          </rPr>
          <t xml:space="preserve">
reference this in the conversion factor formula on the calc factors sheet
</t>
        </r>
      </text>
    </comment>
    <comment ref="H5" authorId="0" guid="{F7D45302-BB77-4CAC-9127-86912DA6CB3F}">
      <text>
        <r>
          <rPr>
            <b/>
            <sz val="9"/>
            <color indexed="81"/>
            <rFont val="Tahoma"/>
            <family val="2"/>
          </rPr>
          <t>Pauline:</t>
        </r>
        <r>
          <rPr>
            <sz val="9"/>
            <color indexed="81"/>
            <rFont val="Tahoma"/>
            <family val="2"/>
          </rPr>
          <t xml:space="preserve">
reference this in the conversion factor formula on the calc factors sheet
</t>
        </r>
      </text>
    </comment>
    <comment ref="C14" authorId="0" guid="{4A0CF8BF-E199-4191-A1C2-DD6566553A76}">
      <text>
        <r>
          <rPr>
            <b/>
            <sz val="9"/>
            <color indexed="81"/>
            <rFont val="Tahoma"/>
            <family val="2"/>
          </rPr>
          <t>Pauline:</t>
        </r>
        <r>
          <rPr>
            <sz val="9"/>
            <color indexed="81"/>
            <rFont val="Tahoma"/>
            <family val="2"/>
          </rPr>
          <t xml:space="preserve">
Or USD
</t>
        </r>
      </text>
    </comment>
  </commentList>
</comments>
</file>

<file path=xl/sharedStrings.xml><?xml version="1.0" encoding="utf-8"?>
<sst xmlns="http://schemas.openxmlformats.org/spreadsheetml/2006/main" count="1368" uniqueCount="869">
  <si>
    <r>
      <t xml:space="preserve">This includes initiatives acorss all grid. Select Yes/No for this question and for the following activities. If other activities that are not specified, please specify below in 'Others'.  </t>
    </r>
    <r>
      <rPr>
        <sz val="12"/>
        <color indexed="10"/>
        <rFont val="Arial"/>
        <family val="2"/>
      </rPr>
      <t>Please attach descriptive information on scope and development of DSM activities.</t>
    </r>
  </si>
  <si>
    <t xml:space="preserve">All utilities should complete this section.  </t>
  </si>
  <si>
    <t>NOTE: Calculation of SAIDI contribution requires tabulation and summation of individual fault contributions, ie SUM (# of customers x duration of fault (mins)).  Please refer BM manual and attach methodology/assumptions (if any).</t>
  </si>
  <si>
    <t>mins</t>
  </si>
  <si>
    <t>The total number of outages planned in the distribution network (that affected customers)</t>
  </si>
  <si>
    <t>The total number of generation outages planned (that affected customers)</t>
  </si>
  <si>
    <t>The total number of outages due to generation faults (that affected customers)</t>
  </si>
  <si>
    <t>Number of times in the period when a transmission system fault resulted in an unplanned outage (affecting customers)</t>
  </si>
  <si>
    <t>Number of Planned Transmission Outage Events</t>
  </si>
  <si>
    <t>Number of times in the period when a planned transmission system outage affected customers</t>
  </si>
  <si>
    <t>kWh/kg</t>
  </si>
  <si>
    <t>Lifeline Tariff Usage</t>
  </si>
  <si>
    <r>
      <t xml:space="preserve">Interruptions to customer supply caused by planned outages of distribution networks, </t>
    </r>
    <r>
      <rPr>
        <sz val="10"/>
        <color indexed="10"/>
        <rFont val="Arial"/>
        <family val="2"/>
      </rPr>
      <t>or transmission/generation failures that affect customers connected to the distribution network</t>
    </r>
    <r>
      <rPr>
        <sz val="10"/>
        <rFont val="Arial"/>
        <family val="2"/>
      </rPr>
      <t>.  Includes supply to a single customer.</t>
    </r>
  </si>
  <si>
    <r>
      <t xml:space="preserve">Interruptions to customer supply caused by unplanned outages of the distribution network, </t>
    </r>
    <r>
      <rPr>
        <sz val="10"/>
        <color indexed="10"/>
        <rFont val="Arial"/>
        <family val="2"/>
      </rPr>
      <t xml:space="preserve">or transmission/generation failures that affect customers connected to the distribution network, </t>
    </r>
    <r>
      <rPr>
        <sz val="10"/>
        <rFont val="Arial"/>
        <family val="2"/>
      </rPr>
      <t>excluding the customer service connection.  Also excludes brief or momentary interruptions (&lt;1 minute).  Includes supply to a single customer.</t>
    </r>
  </si>
  <si>
    <t>PACIFIC POWER ASSOCIATION</t>
  </si>
  <si>
    <t>Units</t>
  </si>
  <si>
    <t>MW</t>
  </si>
  <si>
    <t>MVA</t>
  </si>
  <si>
    <t>MWh</t>
  </si>
  <si>
    <t>Current Assets</t>
  </si>
  <si>
    <t xml:space="preserve">Watt </t>
  </si>
  <si>
    <t>Unplanned interruptions</t>
  </si>
  <si>
    <t>Planned Interruptions</t>
  </si>
  <si>
    <t>Watt hour</t>
  </si>
  <si>
    <t>Joule</t>
  </si>
  <si>
    <t>Wh</t>
  </si>
  <si>
    <t>J</t>
  </si>
  <si>
    <t>M</t>
  </si>
  <si>
    <t>G</t>
  </si>
  <si>
    <t>T</t>
  </si>
  <si>
    <t>Kilo (= thousand)</t>
  </si>
  <si>
    <t>Mega (= million)</t>
  </si>
  <si>
    <t>Giga (= billion)</t>
  </si>
  <si>
    <t>Tera (= trillion)</t>
  </si>
  <si>
    <t>1,000 or 10^3</t>
  </si>
  <si>
    <t>1,000,000 or 10^6</t>
  </si>
  <si>
    <t>1,000,000,000 or 10^9</t>
  </si>
  <si>
    <t>1,000,000,000,000 or 10^12</t>
  </si>
  <si>
    <t>1.0 litre = 0.26417 US gallons = 0.220 imperial (UK) gallons</t>
  </si>
  <si>
    <t>1.0 US gallon = 3.7854 litres</t>
  </si>
  <si>
    <t>1.0 km (kilometre) = 0.6214 miles (mi)</t>
  </si>
  <si>
    <t>PACIFIC POWER UTILITY BENCHMARKING STUDY</t>
  </si>
  <si>
    <t>Information on person providing the information:</t>
  </si>
  <si>
    <t>Instructions:</t>
  </si>
  <si>
    <t>year</t>
  </si>
  <si>
    <t>(Not actually true for a leap year but used anyway)</t>
  </si>
  <si>
    <t>W</t>
  </si>
  <si>
    <t>Thus 1 kWh = 1,000 Wh; 1 MWh = one million Wh</t>
  </si>
  <si>
    <t>One standard year = 8760 hours</t>
  </si>
  <si>
    <t>1.0 metric ton (tonne) = 1.1023 short tons = 0.984 long tons (English tons)</t>
  </si>
  <si>
    <t>tonne</t>
  </si>
  <si>
    <t>Fuel</t>
  </si>
  <si>
    <t>Unit</t>
  </si>
  <si>
    <t>Typical</t>
  </si>
  <si>
    <t>Density</t>
  </si>
  <si>
    <t>kg / litre</t>
  </si>
  <si>
    <t>l / tonne</t>
  </si>
  <si>
    <t>Gross Energy</t>
  </si>
  <si>
    <t>Oil Equiv.:</t>
  </si>
  <si>
    <t>toe / unit</t>
  </si>
  <si>
    <t>(net)</t>
  </si>
  <si>
    <t xml:space="preserve">per GJ </t>
  </si>
  <si>
    <t>per litre</t>
  </si>
  <si>
    <t>litre</t>
  </si>
  <si>
    <t>MJ/</t>
  </si>
  <si>
    <t>kg</t>
  </si>
  <si>
    <t>MJ /</t>
  </si>
  <si>
    <t>IDO or ADO</t>
  </si>
  <si>
    <t>IFO or HFO</t>
  </si>
  <si>
    <r>
      <t>Kg CO</t>
    </r>
    <r>
      <rPr>
        <b/>
        <vertAlign val="subscript"/>
        <sz val="9"/>
        <rFont val="Arial"/>
        <family val="2"/>
      </rPr>
      <t xml:space="preserve">2 </t>
    </r>
    <r>
      <rPr>
        <b/>
        <sz val="9"/>
        <rFont val="Arial"/>
        <family val="2"/>
      </rPr>
      <t>equivalent</t>
    </r>
  </si>
  <si>
    <t xml:space="preserve">Petroleum values from Australian Institute of Petroleum (undated) </t>
  </si>
  <si>
    <t xml:space="preserve">Fuel conversion factors and Terms &amp; Abbreviations:   </t>
  </si>
  <si>
    <t>`</t>
  </si>
  <si>
    <t>days</t>
  </si>
  <si>
    <t>Note on reliability &amp; interruptions:</t>
  </si>
  <si>
    <t>QUESTIONNAIRE SECTION 2:  BENCHMARKING INFORMATION</t>
  </si>
  <si>
    <t>Comments</t>
  </si>
  <si>
    <t>hrs</t>
  </si>
  <si>
    <t>Current Liabilities</t>
  </si>
  <si>
    <t>Demand Side Management</t>
  </si>
  <si>
    <t>Distribution</t>
  </si>
  <si>
    <t>Electricity Sold</t>
  </si>
  <si>
    <t>Maximum Demand / Peak Generation</t>
  </si>
  <si>
    <t>L</t>
  </si>
  <si>
    <t>Total Utility Generation</t>
  </si>
  <si>
    <t>Paid Hours Utility Generation Labour</t>
  </si>
  <si>
    <t>Length of Transmission Line</t>
  </si>
  <si>
    <t>Length of Distribution Line</t>
  </si>
  <si>
    <t>Total Distribution Transformer Capacity</t>
  </si>
  <si>
    <t>Distribution O&amp;M Cost</t>
  </si>
  <si>
    <t>Long Term Debt / Non Current Liability</t>
  </si>
  <si>
    <t>Earnings Before Interest and Tax (EBIT) / Operating Profit</t>
  </si>
  <si>
    <t xml:space="preserve">Equity / Net Assets / Capital and Reserves </t>
  </si>
  <si>
    <t>Total Operating Revenue</t>
  </si>
  <si>
    <t>employees</t>
  </si>
  <si>
    <t>events</t>
  </si>
  <si>
    <t>km</t>
  </si>
  <si>
    <t>households</t>
  </si>
  <si>
    <t xml:space="preserve">Non Current Asset at End of Previous Period </t>
  </si>
  <si>
    <t>Profit After Tax (PAT) / Earnings After Tax (EAT)</t>
  </si>
  <si>
    <t>Debtors/Receivables at Period End</t>
  </si>
  <si>
    <t>Total Days Lost Due to Work Injury During Period (excludes contractors)</t>
  </si>
  <si>
    <t>Total Number of Employees (excludes contractors)</t>
  </si>
  <si>
    <t>Number of Lost Time Injuries During Period (excludes contractors)</t>
  </si>
  <si>
    <t>Total Hours Worked (excludes contractors)</t>
  </si>
  <si>
    <t>connections</t>
  </si>
  <si>
    <t>Number of Households Supplied (Domestic Connections)</t>
  </si>
  <si>
    <t>Total Number of Households in the Country</t>
  </si>
  <si>
    <t>kWh/mth</t>
  </si>
  <si>
    <t>Generation</t>
  </si>
  <si>
    <t>Total IPP Generation Purchased</t>
  </si>
  <si>
    <t>Guaranteed/Contracted IPP Generation Capacity</t>
  </si>
  <si>
    <t>Generator 1 Nameplate Capacity Rating</t>
  </si>
  <si>
    <t>Generator 2 Nameplate Capacity Rating</t>
  </si>
  <si>
    <t>Generator 3 Nameplate Capacity Rating</t>
  </si>
  <si>
    <t>Generator 4 Nameplate Capacity Rating</t>
  </si>
  <si>
    <t>Generator 5 Nameplate Capacity Rating</t>
  </si>
  <si>
    <t>Generator 6 Nameplate Capacity Rating</t>
  </si>
  <si>
    <t>Generator 7 Nameplate Capacity Rating</t>
  </si>
  <si>
    <t>Generator 8 Nameplate Capacity Rating</t>
  </si>
  <si>
    <t>Generator 9 Nameplate Capacity Rating</t>
  </si>
  <si>
    <t>Generator 10 Nameplate Capacity Rating</t>
  </si>
  <si>
    <t>Generator 11 Nameplate Capacity Rating</t>
  </si>
  <si>
    <t>Generator 12 Nameplate Capacity Rating</t>
  </si>
  <si>
    <t>Generator 13 Nameplate Capacity Rating</t>
  </si>
  <si>
    <t>Generator 14 Nameplate Capacity Rating</t>
  </si>
  <si>
    <t>Generator 15 Nameplate Capacity Rating</t>
  </si>
  <si>
    <t>Generator 16 Nameplate Capacity Rating</t>
  </si>
  <si>
    <t>Generator 17 Nameplate Capacity Rating</t>
  </si>
  <si>
    <t>Distillate  (ADO or IDO)</t>
  </si>
  <si>
    <t>Mixed fuel</t>
  </si>
  <si>
    <t>Fuel Usage</t>
  </si>
  <si>
    <t>Utility Capacity Hours Out of Service Due to Generation Forced Outage Events</t>
  </si>
  <si>
    <t>Utility Capacity Hours Out of Service Due to Generation Planned Outage Events</t>
  </si>
  <si>
    <t>Utility Capacity Hours Out of Service Due to Generation De-rated Events</t>
  </si>
  <si>
    <t>IPP Capacity Hours Out of Service Due to Generation Forced Outage Events</t>
  </si>
  <si>
    <t>IPP Capacity Hours Out of Service Due to Generation Planned Outage Events</t>
  </si>
  <si>
    <t>IPP Capacity Hours Out of Service Due to Generation De-rated Events</t>
  </si>
  <si>
    <t>Power Station Usage / Station Auxiliaries</t>
  </si>
  <si>
    <t>Electricity delivered to distribution system</t>
  </si>
  <si>
    <t>Number of Unplanned Transmission Outage Events</t>
  </si>
  <si>
    <t>Human Resources / Safety</t>
  </si>
  <si>
    <t>Replacing old inefficient air conditioners with high-efficiency units</t>
  </si>
  <si>
    <t>Replacing old refrigerators and freezers with new, high-efficiency units</t>
  </si>
  <si>
    <t>Performance testing of appliances and equipment</t>
  </si>
  <si>
    <t>Y/N</t>
  </si>
  <si>
    <t>Have varying rates for peak and off peak electricity usage</t>
  </si>
  <si>
    <t>Educational program to consumers</t>
  </si>
  <si>
    <t>Has there been recorded savings by consumers? How much?</t>
  </si>
  <si>
    <t>Other 1 (please specify)</t>
  </si>
  <si>
    <t>Other 2 (please specify)</t>
  </si>
  <si>
    <t>Other 5 (please specify)</t>
  </si>
  <si>
    <t>Other 4 (please specify)</t>
  </si>
  <si>
    <t>Other 3 (please specify)</t>
  </si>
  <si>
    <t>What power Quality Standard applies, if any?</t>
  </si>
  <si>
    <t>Mixed Fuel</t>
  </si>
  <si>
    <t>Total Lubricants Used in Generation</t>
  </si>
  <si>
    <t xml:space="preserve">Does your system have a transmission network? </t>
  </si>
  <si>
    <t>Transmission</t>
  </si>
  <si>
    <t>Finance</t>
  </si>
  <si>
    <t>Currency Used by Utility to Report Costs:</t>
  </si>
  <si>
    <t>LTIs</t>
  </si>
  <si>
    <t>Yes</t>
  </si>
  <si>
    <t>No</t>
  </si>
  <si>
    <t>All costs are to be provided in this currency</t>
  </si>
  <si>
    <t>Explanation</t>
  </si>
  <si>
    <t>Finance information is to be combined for the ENTIRE UTILITY SYSTEM</t>
  </si>
  <si>
    <t xml:space="preserve">Other 1 - Specify here: </t>
  </si>
  <si>
    <t xml:space="preserve">Other 2- Specify here: </t>
  </si>
  <si>
    <t xml:space="preserve">Other 3 - Specify here: </t>
  </si>
  <si>
    <t xml:space="preserve">Other 4 - Specify here: </t>
  </si>
  <si>
    <t xml:space="preserve">Other 5 - Specify here: </t>
  </si>
  <si>
    <t>MWh (total)</t>
  </si>
  <si>
    <t>What is the budget for DSM?</t>
  </si>
  <si>
    <t>How many employees are engaged in DSM?</t>
  </si>
  <si>
    <t>Replacing incandescent lighting with compact fluorescent lighting</t>
  </si>
  <si>
    <t xml:space="preserve">Does the utility actively engaged in any demand side management initiatives? </t>
  </si>
  <si>
    <t xml:space="preserve">Installing sensors on lighting or other </t>
  </si>
  <si>
    <t>Combined number of domestic connections across all grids, taken at end of benchmarking period</t>
  </si>
  <si>
    <t>Brief name or description of each grid</t>
  </si>
  <si>
    <t>Applies only to Fiji, Guam, PNG and  Saipan. Other utilities answer "No" and proceed to 'Distribution'.</t>
  </si>
  <si>
    <r>
      <t xml:space="preserve">Distribution refers only to power sent through the grid </t>
    </r>
    <r>
      <rPr>
        <b/>
        <u/>
        <sz val="12"/>
        <rFont val="Arial"/>
        <family val="2"/>
      </rPr>
      <t>at or below 34.5 kV</t>
    </r>
  </si>
  <si>
    <r>
      <t xml:space="preserve">Transmission refers only to network of </t>
    </r>
    <r>
      <rPr>
        <b/>
        <u/>
        <sz val="12"/>
        <rFont val="Arial"/>
        <family val="2"/>
      </rPr>
      <t>above 34.5kV</t>
    </r>
  </si>
  <si>
    <t>Total number of employees in Distribution &amp; Customer Service at Start of Period</t>
  </si>
  <si>
    <t>Total number of employees in Distribution &amp; Customer Service at End of Period</t>
  </si>
  <si>
    <t>Date questionnaire completed</t>
  </si>
  <si>
    <t>Paid Hours Utility Distribution Labour</t>
  </si>
  <si>
    <t xml:space="preserve">What is the accounting standard used by the utility? </t>
  </si>
  <si>
    <t>If Yes, indicate who the auditor was in Comments column</t>
  </si>
  <si>
    <t>Are utility finances independently audited?</t>
  </si>
  <si>
    <t>eg US GAP, IAS, IPSA, None etc</t>
  </si>
  <si>
    <t>Total Electricity Billed under Lifeline Tariff</t>
  </si>
  <si>
    <t>Total Domestic Electricity Billed</t>
  </si>
  <si>
    <t>Total Commercial Electricity Billed</t>
  </si>
  <si>
    <t>Total Industrial Electricity Billed</t>
  </si>
  <si>
    <t xml:space="preserve">Total Unbilled Electricity Usage </t>
  </si>
  <si>
    <t>Ref</t>
  </si>
  <si>
    <t xml:space="preserve">Transmission information is to be provided for the MAIN GRID ONLY </t>
  </si>
  <si>
    <t xml:space="preserve">Distribution information is to be provided for the MAIN GRID ONLY </t>
  </si>
  <si>
    <t>e.g Head Office, Water Services, Street Lighting etc. (This does not include power station usage/station auxiliiaries)</t>
  </si>
  <si>
    <t>Total Operating Expenses</t>
  </si>
  <si>
    <t>Human Resource / Safety information is to be combined for the ENTIRE UTILITY SYSTEM</t>
  </si>
  <si>
    <t>Start Date for Benchmarking Data Collection Period (Benchmarking Period)</t>
  </si>
  <si>
    <t>End Date for Benchmarking Data Collection Period (Benchmarking Period)</t>
  </si>
  <si>
    <t>Country or territory:</t>
  </si>
  <si>
    <t>Position / Title:</t>
  </si>
  <si>
    <t>Completed by Benchmarking Liaison Officer (name):</t>
  </si>
  <si>
    <t>Endorsed by CEO (name):</t>
  </si>
  <si>
    <t>Postal address:</t>
  </si>
  <si>
    <t>Name of utility:</t>
  </si>
  <si>
    <t xml:space="preserve"> E-mail address:</t>
  </si>
  <si>
    <t>Back up e-mail address:</t>
  </si>
  <si>
    <t>Telephone number:</t>
  </si>
  <si>
    <t>Skype address (if any):</t>
  </si>
  <si>
    <t>Maximum Threshold for Monthly Consumption Under Tariff</t>
  </si>
  <si>
    <t xml:space="preserve">Tariff Schedule / Tariff Table Attached? </t>
  </si>
  <si>
    <t>Lifeline Tariff Available?</t>
  </si>
  <si>
    <t>Demand Side Management information is to be provided for the ENTIRE UTILITY SYSTEM</t>
  </si>
  <si>
    <t>Main Grid 1</t>
  </si>
  <si>
    <t>Grid 2</t>
  </si>
  <si>
    <t>Grid 3</t>
  </si>
  <si>
    <t>Others</t>
  </si>
  <si>
    <t>Name of the Grid</t>
  </si>
  <si>
    <t>Minimum Demand Generation</t>
  </si>
  <si>
    <t>Generation by Source (MWh)</t>
  </si>
  <si>
    <t>kL</t>
  </si>
  <si>
    <t>ML</t>
  </si>
  <si>
    <t>L / kL / ML</t>
  </si>
  <si>
    <t xml:space="preserve">Benchmarking Period: </t>
  </si>
  <si>
    <t>miles</t>
  </si>
  <si>
    <t>km / miles</t>
  </si>
  <si>
    <t>Generation information is to be provided for the ENTIRE UTILITY SYSTEM</t>
  </si>
  <si>
    <t>Customers / General</t>
  </si>
  <si>
    <t>Is the utility self regulated or externally regulated?</t>
  </si>
  <si>
    <t>self / external</t>
  </si>
  <si>
    <t>self regulated</t>
  </si>
  <si>
    <t>externally regulated</t>
  </si>
  <si>
    <t>Total utility generation for each grid</t>
  </si>
  <si>
    <t>Maximum demand for each grid</t>
  </si>
  <si>
    <t xml:space="preserve">Purchases from IPPs for each grid </t>
  </si>
  <si>
    <t>Minimum demand for the each grid</t>
  </si>
  <si>
    <t>The capacity guaranteed by an IPP under contract</t>
  </si>
  <si>
    <t>The capacity for the generator as stated by the nameplate</t>
  </si>
  <si>
    <t>Use the total for Utility and IPP generation, for each grid</t>
  </si>
  <si>
    <t>Total Utility generation from distillate per grid</t>
  </si>
  <si>
    <t>Total Utility generation from heavy fuel oil per grid</t>
  </si>
  <si>
    <t>Total Utility generation from biofuel per grid</t>
  </si>
  <si>
    <t xml:space="preserve">Total Utility generation from mixed fuel (eg coconut oil and diesel) for each grid. Provide details of mixture, fuels used and % of each in Comments column. </t>
  </si>
  <si>
    <t>Total Utility generation from liquid natural gas for each grid</t>
  </si>
  <si>
    <t>Total Utility generation from hydro resources for each grid</t>
  </si>
  <si>
    <t>Total Utility generation from wind energy for each grid</t>
  </si>
  <si>
    <t>Total Utility generation from solar PV for each grid</t>
  </si>
  <si>
    <t>Total Utility generation from wood or other biomass for each grid</t>
  </si>
  <si>
    <t>Total Utility generation from geothermal for each grid</t>
  </si>
  <si>
    <t>Total Distillate usage per year per grid. Select the units used (L/kL/ML)</t>
  </si>
  <si>
    <t>Total HFO/IDO usage per year per grid. Select the units used (L/kL/ML)</t>
  </si>
  <si>
    <t>Total Biofuel usage per year per grid. Select the units used (L/kL/ML)</t>
  </si>
  <si>
    <t>Total Mixed Fuel usage per year per grid. Select the units used (L/kL/ML). Indicate details of mixture in Comments column</t>
  </si>
  <si>
    <t>Total LNG Usage per year per grid. Select the units used (L/kL/ML)</t>
  </si>
  <si>
    <t xml:space="preserve"> Total lubricants used in generation from ADO/IDO, HFO/IFO, Biofuels, Fuel Mixtures, LNG. Select the units used (L/kL/ML)</t>
  </si>
  <si>
    <t>Total paid hours for generation labour, taking into account overtime rates</t>
  </si>
  <si>
    <t>Total energy used in the power stations operated by the utility</t>
  </si>
  <si>
    <t>Enabling Framework for Private Sector Participation IPP/ PPA Arrangement?</t>
  </si>
  <si>
    <t>Enabling framework includes procedures, processes etc. Provide details in Comments column.</t>
  </si>
  <si>
    <t>Total length of all transmission lines and cables in each network</t>
  </si>
  <si>
    <t>Total electricity delivered to the distribution system in MWh</t>
  </si>
  <si>
    <t>The total length of all distribution lines and cables in the distribution network</t>
  </si>
  <si>
    <t>The total number of outages due to faults in the distribution network</t>
  </si>
  <si>
    <t>The sum of all distribution transformer capacity on the network</t>
  </si>
  <si>
    <t xml:space="preserve"> Total expenses incurred in the operations and maintenance of the distribution network</t>
  </si>
  <si>
    <t>Specify DSM budget for reporting period. If no DSM budget, type “0”</t>
  </si>
  <si>
    <t>Provide total number of employees. Provide details in the comments column</t>
  </si>
  <si>
    <t>Select “Yes” or “No”. If “Yes”, indicate how much in the local currency</t>
  </si>
  <si>
    <t>Provide name of the standard. If none applies, type “None”.</t>
  </si>
  <si>
    <t>Any other DSM initiavites. Please specify.</t>
  </si>
  <si>
    <t>The sum of work days/shifts an employee is unable to report to work due to injury sustained at work. Excludes contractors.</t>
  </si>
  <si>
    <t>Total Paid Hours Employees Including Contractors</t>
  </si>
  <si>
    <t>The total number of employees. This factor excludes contractors</t>
  </si>
  <si>
    <t>Total employee LTIs. Contractor injuries are not counted towards LTIs.</t>
  </si>
  <si>
    <t>The total hours worked by employees</t>
  </si>
  <si>
    <t>The total paid hours for employee labour. This takes overtime (double timeetc) into account</t>
  </si>
  <si>
    <t>Total electricity billed to customers in MWh for each grid</t>
  </si>
  <si>
    <t>The total number of households in the country.</t>
  </si>
  <si>
    <t>Indicate Yes or No</t>
  </si>
  <si>
    <t>Provide the tariff threshold in kWh/month</t>
  </si>
  <si>
    <t>Please attach tariff schedule/table and indicate Yes when this is done.</t>
  </si>
  <si>
    <t>The total electricity billed to customers under Lifeline Tariff in MWh.</t>
  </si>
  <si>
    <t>The total electricity billed to customers under domestic tariff in MWh.</t>
  </si>
  <si>
    <t>The total electricity billed to customers under the commercial tariff in MWh.</t>
  </si>
  <si>
    <t>The total electricity billed to customers under the industrial or maximum demand tariff in MWh.</t>
  </si>
  <si>
    <t>Select self regulated or externally regulated. Provide any details</t>
  </si>
  <si>
    <t>Total Operating Revenue earned from electricity sales.</t>
  </si>
  <si>
    <t xml:space="preserve">Total Operating Expenses excluding depreciation, interest and tax. </t>
  </si>
  <si>
    <t>Funds obtained from loans, mortgages, bonds, etc. that have repayment terms longer than one year</t>
  </si>
  <si>
    <t>Sales revenue minus the cost of goods sold and all expenses except for interest and taxes</t>
  </si>
  <si>
    <t>The assets that are consumed over a period of more than a year taken from end of prev period</t>
  </si>
  <si>
    <t>Sales revenue after deducting all expenses, including taxes</t>
  </si>
  <si>
    <t xml:space="preserve">Value of all assets that are reasonably expected to be converted into cash within one year </t>
  </si>
  <si>
    <t>Company's debts or obligations that are due within one year</t>
  </si>
  <si>
    <t>Money owed to a business by its clients (customers) and shown on its Balance Sheet as an asset</t>
  </si>
  <si>
    <t>8a</t>
  </si>
  <si>
    <t>8b</t>
  </si>
  <si>
    <t>8c</t>
  </si>
  <si>
    <t>8d</t>
  </si>
  <si>
    <t>8e</t>
  </si>
  <si>
    <t>8f</t>
  </si>
  <si>
    <t>8g</t>
  </si>
  <si>
    <t>8h</t>
  </si>
  <si>
    <t>8i</t>
  </si>
  <si>
    <t>8j</t>
  </si>
  <si>
    <t>8k</t>
  </si>
  <si>
    <t>9a</t>
  </si>
  <si>
    <t>9b</t>
  </si>
  <si>
    <t>9c</t>
  </si>
  <si>
    <t>9d</t>
  </si>
  <si>
    <t>9e</t>
  </si>
  <si>
    <t>Sum of (Utility Generation Forced Outage Duration multiplied by Capacity Rating)</t>
  </si>
  <si>
    <t>Sum of (Utility Generation Planned Outage Duration multiplied by Capacity Rating)</t>
  </si>
  <si>
    <t xml:space="preserve">Sum of (Utility Generation De-rated Outage Duration multiplied by Capacity Rating) </t>
  </si>
  <si>
    <t>Sum of (IPP Generation Forced Outage Duration multiplied by Capacity Rating)</t>
  </si>
  <si>
    <t>Sum of (IPP Generation Planned Outage Duration multiplied by Capacity Rating)</t>
  </si>
  <si>
    <t>Sum of (IPP Generation De-rated Outage Duration multiplied by Capacity Rating)</t>
  </si>
  <si>
    <t>Total paid hours labour to maintain and operate the utility's distribution network.</t>
  </si>
  <si>
    <t>The assets that are consumed over a period of more than a year taken from end of benchmarking period</t>
  </si>
  <si>
    <t>Non Current Asset at End of Benchmarking Period</t>
  </si>
  <si>
    <t>k</t>
  </si>
  <si>
    <t>SECTION 2: Introductory Questions</t>
  </si>
  <si>
    <t>2. The attached word document "Explanations of Input Data 1" provides explanation of each input, with practical examples and sample calculations.</t>
  </si>
  <si>
    <t xml:space="preserve">This may cover generation, transmission, distribution. Please attach plan. </t>
  </si>
  <si>
    <t>Do you have a maintenance plan for your utility?</t>
  </si>
  <si>
    <t>System Data</t>
  </si>
  <si>
    <t>Input Name</t>
  </si>
  <si>
    <t>Heavy fuel oil (HFO or IFO)</t>
  </si>
  <si>
    <t>Biofuels</t>
  </si>
  <si>
    <t>LNG</t>
  </si>
  <si>
    <t>Hydropower</t>
  </si>
  <si>
    <t>Wind energy</t>
  </si>
  <si>
    <t>Solar Photovoltaics</t>
  </si>
  <si>
    <t>Biomass</t>
  </si>
  <si>
    <t>Geothermal</t>
  </si>
  <si>
    <t>Equity / Net Assets / Capital &amp; Reserves represents the owner’s funds or claims the owners have on the business.</t>
  </si>
  <si>
    <t>Total Cost of Fuel Per Annum</t>
  </si>
  <si>
    <t>Cost of Fuel</t>
  </si>
  <si>
    <t>Cost of Oil</t>
  </si>
  <si>
    <t>Total Cost of Oil Per Annum</t>
  </si>
  <si>
    <t>%</t>
  </si>
  <si>
    <t>Productive Electricity Usage</t>
  </si>
  <si>
    <t>Average Supply Cost</t>
  </si>
  <si>
    <t>Debtor Days</t>
  </si>
  <si>
    <t>Current Ratio</t>
  </si>
  <si>
    <t>Return on Equity</t>
  </si>
  <si>
    <t>Rate of Return on Assets</t>
  </si>
  <si>
    <t>Debt to Equity Ratio</t>
  </si>
  <si>
    <t>Operating Ratio</t>
  </si>
  <si>
    <t>Financial Indicators</t>
  </si>
  <si>
    <t>Customer Unbilled Electricity</t>
  </si>
  <si>
    <t>Other Usage</t>
  </si>
  <si>
    <t>36e</t>
  </si>
  <si>
    <t>Industrial Usage</t>
  </si>
  <si>
    <t>36d</t>
  </si>
  <si>
    <t>Commercial Usage</t>
  </si>
  <si>
    <t>36c</t>
  </si>
  <si>
    <t>Domestic Usage</t>
  </si>
  <si>
    <t>36b</t>
  </si>
  <si>
    <t>36a</t>
  </si>
  <si>
    <t>Service Coverage</t>
  </si>
  <si>
    <t>Labour Productivity</t>
  </si>
  <si>
    <t>Lost Time Injury Frequency Rate</t>
  </si>
  <si>
    <t>Lost Time Injury Duration</t>
  </si>
  <si>
    <t>Power Quality Standards</t>
  </si>
  <si>
    <t>DSM MWh Savings</t>
  </si>
  <si>
    <t>DSM FTE Employees</t>
  </si>
  <si>
    <t>DSM Budget</t>
  </si>
  <si>
    <t>DSM Initiatives</t>
  </si>
  <si>
    <t>Demand Side Mangement</t>
  </si>
  <si>
    <t>Distribution Transformer Utilisation</t>
  </si>
  <si>
    <t>Distribution Reliability</t>
  </si>
  <si>
    <t>Customers per Distribution Employees</t>
  </si>
  <si>
    <t>Distribution Losses</t>
  </si>
  <si>
    <t>Network Delivery Losses</t>
  </si>
  <si>
    <t>Transmission Reliability</t>
  </si>
  <si>
    <t>Transmission Losses</t>
  </si>
  <si>
    <t>LNG Generation</t>
  </si>
  <si>
    <t>Mixed Fuel Generation</t>
  </si>
  <si>
    <t>Biofuel Generation</t>
  </si>
  <si>
    <t>Heavy Fuel Oil Generation</t>
  </si>
  <si>
    <t>Distillate Generation</t>
  </si>
  <si>
    <t>IPP Energy Generation</t>
  </si>
  <si>
    <t>Renewable Energy to Grid</t>
  </si>
  <si>
    <t>Power Station Usage</t>
  </si>
  <si>
    <t>Generation O&amp;M Costs</t>
  </si>
  <si>
    <t>Planned Outage</t>
  </si>
  <si>
    <t>Include forced outages and capacity unavailablity due to derating</t>
  </si>
  <si>
    <t>Forced Outage</t>
  </si>
  <si>
    <t>Lube Oil Consumption</t>
  </si>
  <si>
    <t>Generation Labour Productivity</t>
  </si>
  <si>
    <t>Availability Factor</t>
  </si>
  <si>
    <t>Capacity Factor</t>
  </si>
  <si>
    <t>Load Factor</t>
  </si>
  <si>
    <t>Value</t>
  </si>
  <si>
    <t>Definition</t>
  </si>
  <si>
    <t>Indicator Name</t>
  </si>
  <si>
    <t>KPI #</t>
  </si>
  <si>
    <t>Hours per year for 1 FTE</t>
  </si>
  <si>
    <t>FTE</t>
  </si>
  <si>
    <t>Total hours in a year</t>
  </si>
  <si>
    <t>Annual Hours</t>
  </si>
  <si>
    <t>Constants</t>
  </si>
  <si>
    <t>Average Number of Customers</t>
  </si>
  <si>
    <t>Total Fuel Oil Generation</t>
  </si>
  <si>
    <t>Net Generation</t>
  </si>
  <si>
    <t>Gross Generation - Power Station Usage</t>
  </si>
  <si>
    <t xml:space="preserve">Gross Generation </t>
  </si>
  <si>
    <t>Defintion</t>
  </si>
  <si>
    <t>Calculated Factor</t>
  </si>
  <si>
    <t>13a</t>
  </si>
  <si>
    <t>13b</t>
  </si>
  <si>
    <t>13c</t>
  </si>
  <si>
    <t>13d</t>
  </si>
  <si>
    <t>13e</t>
  </si>
  <si>
    <t>Enabling Framework for Private Sector</t>
  </si>
  <si>
    <t>Self Regulated or Externally Regulated</t>
  </si>
  <si>
    <t>Total Utility Generation + Total IPP Generation Purchased</t>
  </si>
  <si>
    <t>Total Utility Generation Capacity</t>
  </si>
  <si>
    <t>[Sum of (Generator Nameplate Capacity Rating)]*Annual Hours</t>
  </si>
  <si>
    <t>Total Guaranteed/Contracted IPP Generation Capacity</t>
  </si>
  <si>
    <t>Total Utility Generation Capacity + Total Guaranteed/Contracted IPP Generation Capacity</t>
  </si>
  <si>
    <t>Total Installed System Generation Capacity</t>
  </si>
  <si>
    <t>A</t>
  </si>
  <si>
    <t>B</t>
  </si>
  <si>
    <t>C</t>
  </si>
  <si>
    <t>D</t>
  </si>
  <si>
    <t>E</t>
  </si>
  <si>
    <t>F</t>
  </si>
  <si>
    <t>Total Number of FTE Generation Employees</t>
  </si>
  <si>
    <t>Paid Hours Generation Labour/2000</t>
  </si>
  <si>
    <t>H</t>
  </si>
  <si>
    <t>I</t>
  </si>
  <si>
    <t>K</t>
  </si>
  <si>
    <t>N</t>
  </si>
  <si>
    <t>O</t>
  </si>
  <si>
    <t>P</t>
  </si>
  <si>
    <t>Sum of (Utility Capacity Hours Out of Service Due to Generation (Forced + Planned + De-rated) Outage Events)</t>
  </si>
  <si>
    <t>Sum of (Utility IPP Hours Out of Service Due to Generation (Forced + Planned + De-rated) Outage Events)</t>
  </si>
  <si>
    <t>Total Utility Capacity Hours Out Of Service</t>
  </si>
  <si>
    <t>Total IPP Capacity Hours Out Of Service</t>
  </si>
  <si>
    <t>Total Utility Capacity Hours Out Of Service + Total IPP Capacity Hours Out Of Service</t>
  </si>
  <si>
    <t>Total Capacity Hours Out Of Service</t>
  </si>
  <si>
    <t>Average Number of Distribution &amp; Customer Service Employees</t>
  </si>
  <si>
    <t>(Sum of (Total Number of Employees in Distribution &amp; Customer Service at (Start and End) of Period)]/2</t>
  </si>
  <si>
    <t>Average Non Current Assets</t>
  </si>
  <si>
    <t>[Sum of (Non Current Assets (at End of Previous Period + at End of Benchmarking Period))]/2</t>
  </si>
  <si>
    <t>[Sum of (Total Number of Customers at (Start and End) of Period)]/2</t>
  </si>
  <si>
    <t>Total Renewable Energy Generation</t>
  </si>
  <si>
    <t>Total Billed Electricty Usage</t>
  </si>
  <si>
    <t>[Sum of (Generation by (Hydro,Wind,Solar,Biomass,Geothermal,Biofuel,Other Renewable))]</t>
  </si>
  <si>
    <t>Calc Factor Reference</t>
  </si>
  <si>
    <t>FTE employees</t>
  </si>
  <si>
    <t>Total Electricity Billed under (Lifeline + Domestic + Commercial + Industrial + Other)</t>
  </si>
  <si>
    <t>Currency Conversion Rate</t>
  </si>
  <si>
    <t xml:space="preserve">h </t>
  </si>
  <si>
    <t>Currency Conversion</t>
  </si>
  <si>
    <t>Multiplier to be used for converting local currency to US$</t>
  </si>
  <si>
    <t>GWh/FTE generation employee</t>
  </si>
  <si>
    <t>kWh/L</t>
  </si>
  <si>
    <t>US$/MWh</t>
  </si>
  <si>
    <t>customers/distribution employee</t>
  </si>
  <si>
    <t>events/100km</t>
  </si>
  <si>
    <t>US$/km</t>
  </si>
  <si>
    <t>US c /kWh</t>
  </si>
  <si>
    <t>Total expenditure on distillate fuel oil, heavy fuel oil, coconut oil, other hydro carbon based fuels, and lubricating oil</t>
  </si>
  <si>
    <t>Generation Labour</t>
  </si>
  <si>
    <t>Total expenditure on labour associated with the generation of electricity</t>
  </si>
  <si>
    <t>Total depreciation of generation assets over the benchmark period</t>
  </si>
  <si>
    <t>Depreciation Transmission &amp; Distribution Assets</t>
  </si>
  <si>
    <t>Overheads/ Other Expenditure</t>
  </si>
  <si>
    <t>Other Duty/ Taxes</t>
  </si>
  <si>
    <t>Other Depreciation</t>
  </si>
  <si>
    <t>Other Expenditure</t>
  </si>
  <si>
    <t>Total expenditure on items not included in any of the above.</t>
  </si>
  <si>
    <t>Please go to 'Data Reliability' Sheet and complete.</t>
  </si>
  <si>
    <t>Total Generation O&amp;M Costs (utility)</t>
  </si>
  <si>
    <t xml:space="preserve">Total cost for operations and maintenance of the Utility. This excludes all IPP generation costs and fuel and oil costs. </t>
  </si>
  <si>
    <t>Generation Expenditure</t>
  </si>
  <si>
    <t>Hydrocarbon Based Fuel &amp; Lubrication Oil Expenditure</t>
  </si>
  <si>
    <t>Depreciation Generation Assets</t>
  </si>
  <si>
    <t>Transmission/ Distribution Expenditure</t>
  </si>
  <si>
    <t>Transmission/ Distribution Labour</t>
  </si>
  <si>
    <t>Total expenditure on labour for transmission &amp; distribution operations</t>
  </si>
  <si>
    <t>Total depreciation of transmission &amp; distribution assets over the benchmark period</t>
  </si>
  <si>
    <t>Other Labour Expenditure (Customer Service, Head Office, Finance, HR, others)</t>
  </si>
  <si>
    <t>Total labour expenditure for head office and other labour for electricity operations</t>
  </si>
  <si>
    <t>TA -6522 REG: Establishment of the Pacific Infrastructure Advisory Centre - Performance Benchmarking for Pacific Power Utilities</t>
  </si>
  <si>
    <t>Table 1 - Key Data Component Reliability Assessment Questions</t>
  </si>
  <si>
    <t>Question</t>
  </si>
  <si>
    <t>Description</t>
  </si>
  <si>
    <t>Reliability Grade (A, B, C or D)</t>
  </si>
  <si>
    <t>i.</t>
  </si>
  <si>
    <t>How is fuel consumption calculated or derived?</t>
  </si>
  <si>
    <t>ii.</t>
  </si>
  <si>
    <t>How are generation quantities calculated or derived?</t>
  </si>
  <si>
    <t>iii.</t>
  </si>
  <si>
    <t xml:space="preserve">How are customer outage impacts calculated or derived? </t>
  </si>
  <si>
    <t>iv.</t>
  </si>
  <si>
    <t>Total Distillate usage per year per grid. Select the units used (ton)</t>
  </si>
  <si>
    <t>How are network demands and capacity utilisation calculated or derived?</t>
  </si>
  <si>
    <t>v.</t>
  </si>
  <si>
    <t>How are the number of connections or customers calculated?</t>
  </si>
  <si>
    <t>vi.</t>
  </si>
  <si>
    <t>Where is financial information sourced from?</t>
  </si>
  <si>
    <r>
      <t xml:space="preserve">Table 2 - </t>
    </r>
    <r>
      <rPr>
        <b/>
        <i/>
        <sz val="11"/>
        <rFont val="Calibri"/>
        <family val="2"/>
      </rPr>
      <t>General Reliability Evaluation</t>
    </r>
  </si>
  <si>
    <t>Reliability Grade</t>
  </si>
  <si>
    <t>Reliability</t>
  </si>
  <si>
    <t>Highly Reliable</t>
  </si>
  <si>
    <t>Data is based on sound records, procedures, investigations or analyses that are properly documented and recognised as the best available assessment methods. Effective metering or measurement systems exist.</t>
  </si>
  <si>
    <t>Reliable</t>
  </si>
  <si>
    <t xml:space="preserve">Generally as in Category A, but with minor shortcomings, e.g. some of the documentation is missing, the assessment is old or some reliance on unconfirmed reports; or there is some extrapolation made (e.g. extrapolations from records that cover more than 50 percent of the utility system).   </t>
  </si>
  <si>
    <t>Unreliable</t>
  </si>
  <si>
    <t xml:space="preserve">Generally as in Category B, but data is based on extrapolations from records that cover more than 30 per cent (but less than 50 per cent) of the utility  system. </t>
  </si>
  <si>
    <t>Highly Unreliable</t>
  </si>
  <si>
    <t>Data is based on unconfirmed verbal reports and/or cursory inspections or analysis, including extrapolations from such reports/inspections/analysis.  There are no reliable metering or measurement systems.</t>
  </si>
  <si>
    <t>Table 3 - Reliability Grading Guidance</t>
  </si>
  <si>
    <t>Related Questionnaire Data Inputs</t>
  </si>
  <si>
    <t xml:space="preserve">Accurate records are kept of deliveries, inventory and consumption of oil and fuel type by location, station and unit.    Fuel consumption measurement equipment is temperature compensated. Monthly fuel consumption measurement is taken for each unit and fuel consumption audits are regularly undertaken and reconciled by unit. Audits are carried out by both internal and external parties.  </t>
  </si>
  <si>
    <t>9, 10</t>
  </si>
  <si>
    <t>1 mile</t>
  </si>
  <si>
    <t>Records are kept of deliveries, inventory and consumption of oil and fuel type by location and station.    Fuel consumption measurement equipment is not temperature compensated.  Fuel consumption measurement is taken for power stations and fuel consumption audits are undertaken and reconciled by power stations. Audits are carried out by internal and external parties.</t>
  </si>
  <si>
    <t xml:space="preserve">Some records are kept of deliveries, inventory and consumption of oil and fuel type by location and station.  Fuel consumption measurement are done by dip stick.  Fuel consumption audits are only undertaken by an external party annually and reconciled by power stations.  </t>
  </si>
  <si>
    <t>Some records are kept of deliveries, inventory and consumption of oil and fuel type by location and station.  Fuel consumption measurement are done by dip stick.  Fuel consumption audits are rarely undertaken or irregular. Heavy reliance on fuel supplier information.</t>
  </si>
  <si>
    <t xml:space="preserve">Generation quantities are  computed on the basis of measurement by station, unit and auxiliary metering at all grid connected generation points, which are calibrated / verified for accuracy regularly.  Generation profiles are monitored continuously and there is an established process for reporting capacity factors.    There is an established process for derating of generators and reporting of all related volumes.  </t>
  </si>
  <si>
    <t>Generation quantities are  computed on the basis of measurement by unit and station metering at all grid connected generation points.  Meters may not be calibrated or verified for accuracy.   Reliable generation profiles are available.  More manual processing and interpretation of records may be required than A.</t>
  </si>
  <si>
    <t>Reliable and calibrated metering  is not available at all grid connected generation points.   Generation profiles are estimated or extrapolated.   Derating information is not routinely recorded.</t>
  </si>
  <si>
    <t>Aggregated generation information is available, with limited information available on unit and station profiles and capacity factors.   No reliable calibrated metering systems exist.</t>
  </si>
  <si>
    <t>Details of individual HV network or generation outages are available and used to calculate customer impact measures and reliability statistics.  Records of trip times, restoration sequences, and affected customer numbers are available from SCADA, generator, substation,  operating or other records.    Outage records are suitable for causal analysis and performance improvement.  An established and auditable process is used for evaluation of outage impacts.</t>
  </si>
  <si>
    <t xml:space="preserve">Reliable assessment of HV network and generation outages are available, but may require more manual processing of information from source records than in A.  Customer numbers for network segments and affected areas are used to derive reliability statistics but may not be up to date at all times.    </t>
  </si>
  <si>
    <t>Where outage impacts are assessed, they use estimates of outage durations and affected customer numbers.  It is likely that not all outages are captured in reporting statistics.   Limited processes exist for fault causal analysis and reporting.</t>
  </si>
  <si>
    <t>Outage analysis may only be performed for large outages, if at all.   Outage details are not recorded consistently or for reporting purposes.  It may be difficult to extract information from generator, substation and operating records.   There are no established processes related to customer outage analysis.</t>
  </si>
  <si>
    <t>Calibrated metering equipment is installed at all zone and distribution substations and at consumer’s premises for all categories of consumers.  Demand information is captured throughout the network.   Records are up to date and identify installed capacity of lines and transformers.   Billing records and databases reveal regular reading of meters.  Established processes exist and are used for reporting of capacity utilisation, losses and network demand profiles.   Power system anaysis software may be in use and routinely undertaken.  Detailed loss breakdowns are regularly updated and available.</t>
  </si>
  <si>
    <t>Generally as per A, although processes and systems are not as developed.   Limitations of installed metering and substation equipment will require more manual processing of information.  Asset records are missing information requiring some extrapolation for assessment purposes.   Power system analysis software or studies may be undertaken from time to time.</t>
  </si>
  <si>
    <t xml:space="preserve">Metering is not comprehensive enough to allow evaluation of demand and losses easily throughout the network.  There may be significant limitations in the records of installed assets.   Billing records and aggregate consumption information is incomplete.   </t>
  </si>
  <si>
    <t>Asset records may be well out of date and metering coverage of the network poor.  Major assumptions required for evaluation of utilisation at an aggregate level.   No meaningful loss breakdown possible.  No recent power system analysis completed.</t>
  </si>
  <si>
    <t>Billing records and databases clearly identify customer specific meters. Billing processes reveal regular reading of meters and meter readings are the basis for charging consumers.   Databases of electricity connections and meters are complete. There is a mechanism to identify faulty meters and repair meters. Processes for installation of new connections, installation of meters and generation of bills based on this are interlinked with a robust process.</t>
  </si>
  <si>
    <t>Database/ records reveal the list of customers that have meters installed in their electricity  connections. Meter data and associated customer databases may be limited and the linkage with the billing system harder to demonstrate.</t>
  </si>
  <si>
    <t>Records do not reveal the exact number of connections which are metered .   Not all billing is based on metered quantities.  Processes associated with new connections and metering management may not be robust.</t>
  </si>
  <si>
    <t>No formalised processes for metering and connection management.   Number of current connections estimated with poor linkages to billing system and database coverage.</t>
  </si>
  <si>
    <t>Major budget and functional reporting categories identified and separated.   Cost allocation standards for common costs are in place.   An accrual based double entry accounting system is practiced.  Accounting standards are comparable to commercial accounting standards with clear guidelines for recognition of income and expenditure.  Accounting and budgeting manuals are in place and are adhered to.  Financial statements have full disclosure and are audited regularly and on time.</t>
  </si>
  <si>
    <t xml:space="preserve"> Key costs related to generation and distribution are identifiable, although complete segregation is not practiced.  Key income and expenditure is  recognised based on accrual principles, but accounting standards may not be comparable to commercial accounting standards.  Disclosures are complete and are timely and audits undertaken.</t>
  </si>
  <si>
    <t>Major budget and functional reporting categories are not clearly separated, eg, between electricity power supply costs and costs for other utility functions such as water, sewerage, etc.  Limited useful functional reporting and cost allocation principles in place.   Audits may have a significant time lag or may be irregular.</t>
  </si>
  <si>
    <t>There is no segregation of major budget and functional categories, eg, no clear distinction between electricity power supply costs and costs for other utlity functions such as water, sewerage, etc.  A cash-based accounting system may be practiced. There are no clear systems for reporting unpaid expenditure or revenues that are due.  Disclosures and reporting may not be timely.</t>
  </si>
  <si>
    <t>Duty and Taxes on Hydrocarbon Based Fuel &amp; Lubricating Oil</t>
  </si>
  <si>
    <t>Total duty and taxes paid hydrocarbon based fuel &amp; lubricating oil</t>
  </si>
  <si>
    <t>All duty and taxes paid to government for equipment and supplies. Do not include personal income tax and other taxes applicable to workers remuneration. GST, VAT or other forms of sales tax is also excluded</t>
  </si>
  <si>
    <t>Total depreciation on other electricity assets excluding  generation, transmission &amp; distribution assets for benchmarking  period.</t>
  </si>
  <si>
    <t>Transmission/ Distribution O&amp;M Cost</t>
  </si>
  <si>
    <t>30a</t>
  </si>
  <si>
    <t>29a</t>
  </si>
  <si>
    <t>29b</t>
  </si>
  <si>
    <t>29c</t>
  </si>
  <si>
    <t>29d</t>
  </si>
  <si>
    <t>29e</t>
  </si>
  <si>
    <t>29f</t>
  </si>
  <si>
    <t>29g</t>
  </si>
  <si>
    <t>29h</t>
  </si>
  <si>
    <t>29i</t>
  </si>
  <si>
    <t>29j</t>
  </si>
  <si>
    <t>29k</t>
  </si>
  <si>
    <t>Data Reliability Grading: Key Data Components and Reliability Grading Definitions</t>
  </si>
  <si>
    <t>11 to 16 inclusive
20,21
24, 27, 28</t>
  </si>
  <si>
    <t>43 to 56 inclusive</t>
  </si>
  <si>
    <t xml:space="preserve">
59 to 83 inclusive </t>
  </si>
  <si>
    <t>2 to 8 inclusive
11 to 17 inclusive</t>
  </si>
  <si>
    <t>4, 5, 23, 26, 32</t>
  </si>
  <si>
    <r>
      <t xml:space="preserve">Consistent with the approach taken in 2012, the questionnaire requires utilities to provide a self-assessed relability grade for six key components of the primary data (Table 1) in order to better understand data quality issues and encourage improvements in data reliability.    </t>
    </r>
    <r>
      <rPr>
        <sz val="12"/>
        <color indexed="10"/>
        <rFont val="Calibri"/>
        <family val="2"/>
      </rPr>
      <t>Please carefully consider progress or otherwise  against the 2012 self- assessment.</t>
    </r>
    <r>
      <rPr>
        <sz val="12"/>
        <rFont val="Calibri"/>
        <family val="2"/>
      </rPr>
      <t xml:space="preserve">
The general reliability expectations of each grade are described below in Table 2, where A represents the most reliable data and D the least reliable data.   
Further guidance for each component is given in Table 3, although this is not intended to be a detailed specification.  Self-assessments will remain at least partially subjective as a result of variations in circumstances and scale.    Please select the Reliability Grade that </t>
    </r>
    <r>
      <rPr>
        <u/>
        <sz val="12"/>
        <rFont val="Calibri"/>
        <family val="2"/>
      </rPr>
      <t>best</t>
    </r>
    <r>
      <rPr>
        <sz val="12"/>
        <rFont val="Calibri"/>
        <family val="2"/>
      </rPr>
      <t xml:space="preserve"> represents the reliability for each component in Table 1 (blue cells), and provide any additional comments in the space provided in Table 3 (blue cells). 
</t>
    </r>
  </si>
  <si>
    <t>9.1a</t>
  </si>
  <si>
    <t>9.1b</t>
  </si>
  <si>
    <t>9.1c</t>
  </si>
  <si>
    <t>9.1d</t>
  </si>
  <si>
    <t>9.1e</t>
  </si>
  <si>
    <t>Fuel Usage (weight where available)</t>
  </si>
  <si>
    <t>Distribution and Customer Outages</t>
  </si>
  <si>
    <t>cust-mins</t>
  </si>
  <si>
    <t>Generator 18 Nameplate Capacity Rating</t>
  </si>
  <si>
    <t>Generator 19 Nameplate Capacity Rating</t>
  </si>
  <si>
    <t>Generator 20 Nameplate Capacity Rating</t>
  </si>
  <si>
    <t>Generator 21 Nameplate Capacity Rating</t>
  </si>
  <si>
    <t>Generator 22 Nameplate Capacity Rating</t>
  </si>
  <si>
    <t>Generator 23 Nameplate Capacity Rating</t>
  </si>
  <si>
    <t>Generator 24 Nameplate Capacity Rating</t>
  </si>
  <si>
    <t>Generator 25 Nameplate Capacity Rating</t>
  </si>
  <si>
    <t>Sum of (Generation by (Distillate + HFO + Biofuel + Mixed Fuel))</t>
  </si>
  <si>
    <t>All grids</t>
  </si>
  <si>
    <t>Main</t>
  </si>
  <si>
    <t>Q</t>
  </si>
  <si>
    <t>Other Renewable</t>
  </si>
  <si>
    <t>Any other sources of renewable energy generation on each grid. Please specify in Comments column.</t>
  </si>
  <si>
    <t>The total electricity billed to customers not included in the above categories, eg if Govt is not included in the above categories. Please specify in Comments column</t>
  </si>
  <si>
    <t>Total Generation Costs</t>
  </si>
  <si>
    <t>Total Transmission and Dist Costs</t>
  </si>
  <si>
    <t>Generation O&amp;M (USD) + Gen Labour (USD)</t>
  </si>
  <si>
    <t>R</t>
  </si>
  <si>
    <t>T&amp;D O&amp;M (USD) + T&amp;D Labour (USD)</t>
  </si>
  <si>
    <t>Units Conversion (weights, lengths etc)</t>
  </si>
  <si>
    <t>Multiplier to be used for converting to kg</t>
  </si>
  <si>
    <t>Multiplier to be used for converting to tons</t>
  </si>
  <si>
    <t>Multiplier to be used for converting to km</t>
  </si>
  <si>
    <t>USD</t>
  </si>
  <si>
    <t>FJD</t>
  </si>
  <si>
    <t>AUD</t>
  </si>
  <si>
    <t>Conversion Factor for each currency</t>
  </si>
  <si>
    <t>Multiplier to be used for converting to L</t>
  </si>
  <si>
    <t>All Grids</t>
  </si>
  <si>
    <t>Main Grid only</t>
  </si>
  <si>
    <t>Main Grid Only</t>
  </si>
  <si>
    <t>Total Fuel Usage (L)</t>
  </si>
  <si>
    <t>Total Fuel Usage (kg)</t>
  </si>
  <si>
    <t>Sum of (Fuel Usage (L) by (Distillate + HFO + Biofuel + Mixed Fuel + LNG))</t>
  </si>
  <si>
    <t>Sum of (Fuel Usage (kg) by (Distillate + HFO + Biofuel + Mixed Fuel + LNG))</t>
  </si>
  <si>
    <t>tonnes (metric tons)</t>
  </si>
  <si>
    <t xml:space="preserve">Multiplier to be used for converting to </t>
  </si>
  <si>
    <t>Specific Fuel Oil Consumption (volume)</t>
  </si>
  <si>
    <t>Specific Fuel Oil Consumption (weight)</t>
  </si>
  <si>
    <t>Total HFO/IDO usage per year per grid. Select the units used (kgs or tonnes (metric tons))</t>
  </si>
  <si>
    <t>Total Biofuel usage per year per grid. Select the units used (kgs or tonnes (metric tons))</t>
  </si>
  <si>
    <t>Total Mixed Fuel usage per year per grid. Select the units used (kgs or tonnes (metric tons)). Indicate details of mixture in Comments column</t>
  </si>
  <si>
    <t>Total LNG Usage per year per grid. Select the units used (kgs or tonnes (metric tons))</t>
  </si>
  <si>
    <t>NZD</t>
  </si>
  <si>
    <t>XPF</t>
  </si>
  <si>
    <t>SBD</t>
  </si>
  <si>
    <t>TOP</t>
  </si>
  <si>
    <t>Currency</t>
  </si>
  <si>
    <t>Conversion Factor</t>
  </si>
  <si>
    <t>Total Electricity Sold</t>
  </si>
  <si>
    <t>Total Productive Electricty Sold</t>
  </si>
  <si>
    <t>Commercial + Industrial + Other</t>
  </si>
  <si>
    <t>FTE Utility</t>
  </si>
  <si>
    <t>Total Paid Hrs divided by FTE</t>
  </si>
  <si>
    <t>Total Number of FTE Employees</t>
  </si>
  <si>
    <t>Total Paid Hours Labour/2000</t>
  </si>
  <si>
    <t>customers/FTE employee</t>
  </si>
  <si>
    <t>injuries per million hrs worked</t>
  </si>
  <si>
    <t xml:space="preserve">Total Unplanned Transmission Related Interruption Contribution (SAIDI - transmission) </t>
  </si>
  <si>
    <t xml:space="preserve">Total Planned Transmission Related Interruption Contribution (SAIDI - transmission) </t>
  </si>
  <si>
    <t>Transmission SAIDI (planned)</t>
  </si>
  <si>
    <t>Transmission SAIDI (unplanned)</t>
  </si>
  <si>
    <t>outage events/100 km</t>
  </si>
  <si>
    <t>Customer information is to be combined for the ENTIRE UTILITY SYSTEM, except for Electricity Sold which is per grid and Number of Customers which is specified</t>
  </si>
  <si>
    <t>Total No. of Customers at Start of Benchmarking Period (Entire System)</t>
  </si>
  <si>
    <t>Total No. of Customers at End of Benchmarking Period (Entire System)</t>
  </si>
  <si>
    <t>Total No. of Customers at Start of Benchmarking Period (Main Grid)</t>
  </si>
  <si>
    <t>Total No. of Customers at End of Benchmarking Period (Main Grid)</t>
  </si>
  <si>
    <t>Number of customers across all grids at the start of the benchmarking period. Include total of all customer classes for all the networks.</t>
  </si>
  <si>
    <t>Number of customers across all grids at the end of the benchmarking period. Include total of all customer classes for all the networks.</t>
  </si>
  <si>
    <t>Number of customers on main grid at the start of the benchmarking period. Include total of all customer classes for all the networks.</t>
  </si>
  <si>
    <t>Number of customerson main grid at the end of the benchmarking period. Include total of all customer classes for all the networks.</t>
  </si>
  <si>
    <t>Total 'Other' Electricity Billed (eg Govt if not included above etc)</t>
  </si>
  <si>
    <t>Have you completed the Data Reliability Assessment (see 'Data Reliability' Worksheet?</t>
  </si>
  <si>
    <t>Completed? Y/N</t>
  </si>
  <si>
    <t>Please Complete Section 1 (Word Document) provided.</t>
  </si>
  <si>
    <t>ASPA</t>
  </si>
  <si>
    <t>Country</t>
  </si>
  <si>
    <t>CPUC</t>
  </si>
  <si>
    <t>CUC</t>
  </si>
  <si>
    <t>EDT</t>
  </si>
  <si>
    <t>EEC</t>
  </si>
  <si>
    <t>EEWF</t>
  </si>
  <si>
    <t>ENERCAL</t>
  </si>
  <si>
    <t>EPC</t>
  </si>
  <si>
    <t>FEA</t>
  </si>
  <si>
    <t>GPA</t>
  </si>
  <si>
    <t>KAJUR</t>
  </si>
  <si>
    <t>KUA</t>
  </si>
  <si>
    <t>MEC</t>
  </si>
  <si>
    <t>NPC</t>
  </si>
  <si>
    <t>NUC</t>
  </si>
  <si>
    <t>PPL</t>
  </si>
  <si>
    <t>PPUC</t>
  </si>
  <si>
    <t>PUC</t>
  </si>
  <si>
    <t>PUB</t>
  </si>
  <si>
    <t>SIEA</t>
  </si>
  <si>
    <t>TAU</t>
  </si>
  <si>
    <t>TEC</t>
  </si>
  <si>
    <t>TPL</t>
  </si>
  <si>
    <t>UNELCO</t>
  </si>
  <si>
    <t>YSPSC</t>
  </si>
  <si>
    <t>American Samoa</t>
  </si>
  <si>
    <t>Chuuk, FSM</t>
  </si>
  <si>
    <t>Siapan, Northern Marianas</t>
  </si>
  <si>
    <t>French Polynesia</t>
  </si>
  <si>
    <t>New Caledonia</t>
  </si>
  <si>
    <t>Wallis and Fortuna</t>
  </si>
  <si>
    <t>Samoa</t>
  </si>
  <si>
    <t>Fiji</t>
  </si>
  <si>
    <t>Guam</t>
  </si>
  <si>
    <t>Kwajalein Atoll, Marshall Islands</t>
  </si>
  <si>
    <t>Kosrea, FSM</t>
  </si>
  <si>
    <t>Marshall Islands</t>
  </si>
  <si>
    <t>Niue</t>
  </si>
  <si>
    <t>Nauru</t>
  </si>
  <si>
    <t>Papua New Guinea</t>
  </si>
  <si>
    <t>Palau</t>
  </si>
  <si>
    <t>Kiribai</t>
  </si>
  <si>
    <t>Solomon Islands</t>
  </si>
  <si>
    <t>Pohnpei, FSM</t>
  </si>
  <si>
    <t>Cook Islands</t>
  </si>
  <si>
    <t>Tuvalu</t>
  </si>
  <si>
    <t>Tonga</t>
  </si>
  <si>
    <t>Vanuatu</t>
  </si>
  <si>
    <t>Yap, FSM</t>
  </si>
  <si>
    <t>Local Currency</t>
  </si>
  <si>
    <t>VUV</t>
  </si>
  <si>
    <t>PGK</t>
  </si>
  <si>
    <t>WST</t>
  </si>
  <si>
    <t>Other</t>
  </si>
  <si>
    <t xml:space="preserve">Pacific Utilities </t>
  </si>
  <si>
    <t>List conversion multiplier to convert to USD</t>
  </si>
  <si>
    <r>
      <t xml:space="preserve">These conversions will be used if specific data on fuel used </t>
    </r>
    <r>
      <rPr>
        <sz val="10"/>
        <color indexed="10"/>
        <rFont val="Arial Narrow"/>
        <family val="2"/>
      </rPr>
      <t>or weight based consumption not provided</t>
    </r>
  </si>
  <si>
    <t>Generation Unplanned Outages: Sum of (Custom Interruption x Duration of Interruption)</t>
  </si>
  <si>
    <t>Generation Planned: Sum of (Custom Interruption x Duration of Interruption)</t>
  </si>
  <si>
    <t>Total Unplanned GENERATION Related Interruption Contribution (SAIDI - generation)</t>
  </si>
  <si>
    <t>Total Planned GENERATION Related Interruption Contribution (SAIDI - generation)</t>
  </si>
  <si>
    <t>Total Unplanned DISTRIBUTION Related Interruption Contribution (SAIDI - distribution)</t>
  </si>
  <si>
    <t>Total Planned DISTRIBUTION Related Interruption Contribution (SAIDI - distribution)</t>
  </si>
  <si>
    <t>Distribution Unplanned: Sum of (Custom Interruption x Duration of Interruption)</t>
  </si>
  <si>
    <t>Distribution Planned: Sum of (Custom Interruption x Duration of Interruption)</t>
  </si>
  <si>
    <t xml:space="preserve">Note: Generation SAIDI data is receorded under the Distribution Section below. </t>
  </si>
  <si>
    <t>*</t>
  </si>
  <si>
    <t>Generation Related SAIDI (Planned)</t>
  </si>
  <si>
    <t>Generation Related SAIDI (Unplanned)</t>
  </si>
  <si>
    <t>Genertaion Related SAIFI (Planned)</t>
  </si>
  <si>
    <t>Genertaion Related SAIFI (Unplanned)</t>
  </si>
  <si>
    <t>Total SAIDI (Generation and Dist)</t>
  </si>
  <si>
    <t>Total SAIFI (Generation and Dist)</t>
  </si>
  <si>
    <t>Distribution Related SAIDI (Planned)</t>
  </si>
  <si>
    <t>Distribution Related SAIDI (Unplanned)</t>
  </si>
  <si>
    <t>events per customer</t>
  </si>
  <si>
    <t>mins per customer</t>
  </si>
  <si>
    <t>Sum of customers affected for each Unplanned Transmission outage.</t>
  </si>
  <si>
    <t>Sum of customers affected for each Planned Transmission outage.</t>
  </si>
  <si>
    <t>customers</t>
  </si>
  <si>
    <t>Sum of (Customers Interrupted x Duration of Interruption) for Unplanned Transmission outages</t>
  </si>
  <si>
    <t>Sum of (Customers Interrupted x Duration of Interruption) for Planned Transmission Outages</t>
  </si>
  <si>
    <t>customers affected</t>
  </si>
  <si>
    <t>NOTE: Calculation of SAIDI contribution requires tabulation and summation of individual fault contributions, ie SUM (# of customers x duration of fault (mins)). 
SAIFI calc requires summation of total customers affected for each outage for the reporting year.
Please refer BM manual and attach methodology/assumptions (if any).</t>
  </si>
  <si>
    <t>Total Number of Customer Interruptions for Unplanned GENERATION Outages</t>
  </si>
  <si>
    <t>Total Number of Customer Interruptions for Planned GENERATION Outages</t>
  </si>
  <si>
    <t>Total Number of Customer Interruptions for Unplanned DISTRIBUTION Outages</t>
  </si>
  <si>
    <t>Total Number of Customer Interruptions for Planned DISTRIBUTION Outages</t>
  </si>
  <si>
    <t>Sum of customers affected for each Unplanned Distribution outage.</t>
  </si>
  <si>
    <t>Sum of customers affected for each Planned DIstribution outage.</t>
  </si>
  <si>
    <t>Number of DISTRIBUTION Forced (Unplanned) Outage Events</t>
  </si>
  <si>
    <t>Number of DISTRIBUTION Planned Outage Events</t>
  </si>
  <si>
    <t>Number of GENERATION Forced (Unplanned) Outage Events</t>
  </si>
  <si>
    <t>Number of GENERATION Planned Outage Events</t>
  </si>
  <si>
    <t>Total Number of Customer Interruptions for Unplanned TRANSMISSION Outages</t>
  </si>
  <si>
    <t>Total Number of Customer Interruptions for Planned TRANSMISSION Outages</t>
  </si>
  <si>
    <t>Distribution Related SAIFI (Unplanned)</t>
  </si>
  <si>
    <t>Distribution Related SAIFI (Planned)</t>
  </si>
  <si>
    <t>Generation SAIDI (Total)</t>
  </si>
  <si>
    <t>Genertaion SAIFI (Total)</t>
  </si>
  <si>
    <t>Distribution SAIDI (Total)</t>
  </si>
  <si>
    <t>Distribution SAIFI (Total)</t>
  </si>
  <si>
    <t>Please fill in any supporting information on your self assessment in Table 3 i below</t>
  </si>
  <si>
    <t>Please fill in any supporting information on your self assessment in Table 3 ii below</t>
  </si>
  <si>
    <t>Please fill in any supporting information on your self assessment in Table 3 iii below</t>
  </si>
  <si>
    <t>Please fill in any supporting information on your self assessment in Table 3 iv below</t>
  </si>
  <si>
    <t>Please fill in any supporting information on your self assessment in Table 3 v below</t>
  </si>
  <si>
    <t>Please fill in any supporting information on your self assessment in Table 3 vi below</t>
  </si>
  <si>
    <t>Refer to Table 2 below for Reliability Grade Explanations</t>
  </si>
  <si>
    <t>to converto to USD</t>
  </si>
  <si>
    <t xml:space="preserve">You may enter an approximate conversion factor in Cell [F39] to convert from your currency to USD, so to see approximate calculation for indicators expressed in USD (refer 'Indicators' Sheet) </t>
  </si>
  <si>
    <t>NOTE: If your currency is not USD, you will need to fill in Cell F36 on the 'Calculated Factors' Sheet for the Indicators represented in USD to be correct. For the Benchmarking Analysis the exchange rates will be re-set using the applied currency conversion methodology</t>
  </si>
  <si>
    <t>Paste your tariff schedule here</t>
  </si>
  <si>
    <t>Utility Cost Breakdown</t>
  </si>
  <si>
    <t>Fuel and Lube Oil</t>
  </si>
  <si>
    <t>Fuel Duty</t>
  </si>
  <si>
    <t>Gen O&amp;M</t>
  </si>
  <si>
    <t>Gen Labour</t>
  </si>
  <si>
    <t>Gen Depreciation</t>
  </si>
  <si>
    <t>T&amp;D O&amp;M</t>
  </si>
  <si>
    <t>T&amp;D Labour</t>
  </si>
  <si>
    <t>T&amp;D Depreciation</t>
  </si>
  <si>
    <t>Other Overheads</t>
  </si>
  <si>
    <t>Other Taxes</t>
  </si>
  <si>
    <t>Other Miscellaneous</t>
  </si>
  <si>
    <t>Utility Cost Breakdown Total Cost</t>
  </si>
  <si>
    <t>Includes fuel, taxes, Gen and Dist O&amp;M, Labour, deprec, and other overheads, taxes, deprec etc</t>
  </si>
  <si>
    <t>kg / tonne</t>
  </si>
  <si>
    <r>
      <t xml:space="preserve">THIS INTRODUCTORY SECTION MUST BE FILLED OUT (In </t>
    </r>
    <r>
      <rPr>
        <b/>
        <u/>
        <sz val="12"/>
        <color rgb="FFFF0000"/>
        <rFont val="Arial"/>
        <family val="2"/>
      </rPr>
      <t>addition</t>
    </r>
    <r>
      <rPr>
        <b/>
        <sz val="12"/>
        <color rgb="FFFF0000"/>
        <rFont val="Arial"/>
        <family val="2"/>
      </rPr>
      <t xml:space="preserve"> to filling out Section 1)</t>
    </r>
  </si>
  <si>
    <r>
      <t xml:space="preserve">1. Please see the attached Word document file "PPA Benchmarking 2012 - Intro and Section 1" for the Background, Introduction and Section 1 of the Questionnaire.   </t>
    </r>
    <r>
      <rPr>
        <sz val="16"/>
        <color indexed="10"/>
        <rFont val="Arial"/>
        <family val="2"/>
      </rPr>
      <t>2013/2014 amendments are highlighted in the spreadsheet cells.</t>
    </r>
    <r>
      <rPr>
        <sz val="16"/>
        <rFont val="Arial"/>
        <family val="2"/>
      </rPr>
      <t xml:space="preserve"> </t>
    </r>
  </si>
  <si>
    <t>3. Section 2 (Excel spreadsheet) needs to be completed for the 2012 Benchmarking Exercise; QUESTIONNAIRE sheet and DATA RELIABILITY sheet. 
Section 1 (Word Doc) must also be completed, including Tariff Schedules. 
All submissions to be in Excel/Word not PDF, (except for Tariff Schedule which may be in PDF)</t>
  </si>
  <si>
    <t>5. The bright yellow cells provide a selection box for you to select your response</t>
  </si>
  <si>
    <t xml:space="preserve">6. Reference unit conversion charts are provided on the Sheet "Reference Unit Conversion" </t>
  </si>
  <si>
    <t>7. Where appropriate, please mark as follows: n.av.  = not available;  N/Ap = not applicable</t>
  </si>
  <si>
    <t xml:space="preserve">4. Please enter the data or information requested in the yellow boxes indicated, with comments in the yellow Comment column. </t>
  </si>
  <si>
    <r>
      <t xml:space="preserve">10. Before returning the completed questionnaire, </t>
    </r>
    <r>
      <rPr>
        <b/>
        <u/>
        <sz val="16"/>
        <rFont val="Arial"/>
        <family val="2"/>
      </rPr>
      <t>please change the filename to indicate the utility, e.g. TAU, FEA, PNG Power, etc.</t>
    </r>
  </si>
  <si>
    <t>11. This spreadhseet is designed to be printed on A3 size</t>
  </si>
  <si>
    <t>9. Key performance Indicators will be automatically calculated on the 'Indicators' tab (provided all data has been entered correctly). This is for your information only.</t>
  </si>
  <si>
    <r>
      <t xml:space="preserve">8. All information requested (employment,costs,revenue, etc.) </t>
    </r>
    <r>
      <rPr>
        <b/>
        <i/>
        <sz val="16"/>
        <rFont val="Arial"/>
        <family val="2"/>
      </rPr>
      <t>refers only to electricity operations</t>
    </r>
    <r>
      <rPr>
        <sz val="16"/>
        <rFont val="Arial"/>
        <family val="2"/>
      </rPr>
      <t xml:space="preserve">. </t>
    </r>
    <r>
      <rPr>
        <u/>
        <sz val="16"/>
        <rFont val="Arial"/>
        <family val="2"/>
      </rPr>
      <t>Do not include</t>
    </r>
    <r>
      <rPr>
        <sz val="16"/>
        <rFont val="Arial"/>
        <family val="2"/>
      </rPr>
      <t xml:space="preserve"> information for other services the utility may provide such as water, waste management, telecoms, fuel supply etc.</t>
    </r>
  </si>
  <si>
    <t>NEW Qs</t>
  </si>
  <si>
    <t xml:space="preserve"> - Note that there is a variation of 0.03 in terms of the exchange ratewhich is acceptable in terms of reporting </t>
  </si>
  <si>
    <t xml:space="preserve">in terms of reporting the financial to respective stakeholders </t>
  </si>
  <si>
    <t xml:space="preserve"> - Reason behind using the last day Ask rate which is the inwards rates gives a true &amp; fair view reflection of the fiancial reports</t>
  </si>
  <si>
    <t xml:space="preserve"> - Website the rates are taken from http://www.oanda.com/currency/historical-rates/</t>
  </si>
  <si>
    <t xml:space="preserve"> - Rates used in Colum G is the average rate of the financial year of respective utilities.</t>
  </si>
  <si>
    <t xml:space="preserve"> - Rates used in Colum F is based on the last date of the financial year of respective utilities.</t>
  </si>
  <si>
    <t>Note to be considered:</t>
  </si>
  <si>
    <t xml:space="preserve">Variation from their average rate </t>
  </si>
  <si>
    <t>Average Rate</t>
  </si>
  <si>
    <t>BM period end</t>
  </si>
  <si>
    <t>BM period start</t>
  </si>
  <si>
    <t>2014 Version: 29 April 2014</t>
  </si>
  <si>
    <t>Select Units</t>
  </si>
  <si>
    <t>Select correct answer</t>
  </si>
  <si>
    <t>Response (Y/N)</t>
  </si>
  <si>
    <t>Please go to 'Governance' Sheet and complete.</t>
  </si>
  <si>
    <t>-</t>
  </si>
  <si>
    <t>Gender Question</t>
  </si>
  <si>
    <t>Answer</t>
  </si>
  <si>
    <t>Male</t>
  </si>
  <si>
    <t>Female</t>
  </si>
  <si>
    <t>Procurement / Supply</t>
  </si>
  <si>
    <t>Human Resources</t>
  </si>
  <si>
    <t>PR/Cust Service/Comms</t>
  </si>
  <si>
    <t>Admin</t>
  </si>
  <si>
    <t>8. Any other relevant comments</t>
  </si>
  <si>
    <t>Please go to 'Gender' Sheet and complete.</t>
  </si>
  <si>
    <t>Please explain why answer is either a 'Yes' or a 'No'</t>
  </si>
  <si>
    <t>Please provide a description as to what roles other staff occupy</t>
  </si>
  <si>
    <t>Governance Indicator Questionnaire</t>
  </si>
  <si>
    <t>Instructions: Please answer all questions with either a 'Yes' or 'No' response, providing explanatory notes in the adjoining column</t>
  </si>
  <si>
    <t>Gender Questionnaire</t>
  </si>
  <si>
    <t>Total number of staff</t>
  </si>
  <si>
    <t>Total number of male staff</t>
  </si>
  <si>
    <t>Total number of female staff</t>
  </si>
  <si>
    <t>Please enter any further additional and relevant gender comments here as necessary</t>
  </si>
  <si>
    <t>1. Are government ministers appointed to the board?</t>
  </si>
  <si>
    <t>2. If government ministers or other public servants are appointed to the board, do they represent their line and/or sector ministry?</t>
  </si>
  <si>
    <t>3. Does the Board have a conflict of interest policy and a code of conduct that is being fully implemented?</t>
  </si>
  <si>
    <t>4. Is the utility operating within a clearly defined commercial mandate?</t>
  </si>
  <si>
    <t>5. Is the CEO of the utility on a performance contract which has annual reviews?</t>
  </si>
  <si>
    <t>6. Does the Board develop a forward looking business plan, with financial, operational and capital expenditure projections that covers a minimum time period of three (3) or more years?</t>
  </si>
  <si>
    <t>7. Is an audited annual report completed withn four months of the closure of each financial period?</t>
  </si>
  <si>
    <t>8. Does the annual report disclose the companies performance against the srategic plan?</t>
  </si>
  <si>
    <t>7. Is the Personal Assistant and/or Secretary to the CEO male or female? (M/F)</t>
  </si>
  <si>
    <t>Instructions: Please answer all questions with either a Yes, No, or Number (as appropriate), providing explanatory notes in the adjoining column as required</t>
  </si>
  <si>
    <t>1. Total number of staff in the organisation</t>
  </si>
  <si>
    <t>2. Technical staff in the organisation (Generation, Transmission, Distribution Depts)</t>
  </si>
  <si>
    <t>3. Is the CEO/General Manager/first officer in charge male or female? (M/F)</t>
  </si>
  <si>
    <t>4. Is the second officer in charge of the organisation male or female? (M/F)</t>
  </si>
  <si>
    <t>5. Senior Staff reporting directly to the CEO</t>
  </si>
  <si>
    <t>Total number of technical staff</t>
  </si>
  <si>
    <t>Total number of male technical staff</t>
  </si>
  <si>
    <t>Total number of female technical staff</t>
  </si>
  <si>
    <t>Total number of senior staff</t>
  </si>
  <si>
    <t xml:space="preserve">Total number of male senior staff </t>
  </si>
  <si>
    <t>Total number of female senior staff</t>
  </si>
  <si>
    <t>6. Number of senior female staff in the organisation, according to role</t>
  </si>
  <si>
    <t xml:space="preserve"> </t>
  </si>
  <si>
    <t>Please ensure  an Organisational structure (identifying positions and holders) is completed and submitted in Word format, with Tariff Schedule (PDF ok).</t>
  </si>
  <si>
    <t>Gerardo B. Protacio</t>
  </si>
  <si>
    <t>Electrical Engineer</t>
  </si>
  <si>
    <t>Fred N. Skilling</t>
  </si>
  <si>
    <t>Kosrae State, Federated States of Micronesia</t>
  </si>
  <si>
    <t>Kosrae Utilities Authority</t>
  </si>
  <si>
    <t>PO Box KUA</t>
  </si>
  <si>
    <t>kua@mail.fm</t>
  </si>
  <si>
    <t>kuaengr@mail.fm</t>
  </si>
  <si>
    <t>691 370 3344</t>
  </si>
  <si>
    <t>US GAP</t>
  </si>
</sst>
</file>

<file path=xl/styles.xml><?xml version="1.0" encoding="utf-8"?>
<styleSheet xmlns="http://schemas.openxmlformats.org/spreadsheetml/2006/main">
  <numFmts count="11">
    <numFmt numFmtId="164" formatCode="_-* #,##0.00_-;\-* #,##0.00_-;_-* &quot;-&quot;??_-;_-@_-"/>
    <numFmt numFmtId="165" formatCode="#,##0.0"/>
    <numFmt numFmtId="166" formatCode="#,##0.000"/>
    <numFmt numFmtId="167" formatCode="#,##0.0000"/>
    <numFmt numFmtId="168" formatCode="_-* #,##0.0_-;\-* #,##0.0_-;_-* &quot;-&quot;??_-;_-@_-"/>
    <numFmt numFmtId="169" formatCode="_-* #,##0_-;\-* #,##0_-;_-* &quot;-&quot;??_-;_-@_-"/>
    <numFmt numFmtId="170" formatCode="0.0000"/>
    <numFmt numFmtId="171" formatCode="0.00000"/>
    <numFmt numFmtId="172" formatCode="[$-C09]dd\-mmm\-yy;@"/>
    <numFmt numFmtId="173" formatCode="_-* #,##0.000_-;\-* #,##0.000_-;_-* &quot;-&quot;??_-;_-@_-"/>
    <numFmt numFmtId="174" formatCode="_-* #,##0.000000_-;\-* #,##0.000000_-;_-* &quot;-&quot;??_-;_-@_-"/>
  </numFmts>
  <fonts count="84">
    <font>
      <sz val="10"/>
      <name val="Arial"/>
    </font>
    <font>
      <sz val="11"/>
      <color indexed="8"/>
      <name val="Calibri"/>
      <family val="2"/>
    </font>
    <font>
      <sz val="11"/>
      <color indexed="8"/>
      <name val="Calibri"/>
      <family val="2"/>
    </font>
    <font>
      <sz val="11"/>
      <color indexed="8"/>
      <name val="Calibri"/>
      <family val="2"/>
    </font>
    <font>
      <sz val="10"/>
      <name val="Arial"/>
      <family val="2"/>
    </font>
    <font>
      <sz val="12"/>
      <name val="Arial"/>
      <family val="2"/>
    </font>
    <font>
      <b/>
      <sz val="12"/>
      <name val="Arial"/>
      <family val="2"/>
    </font>
    <font>
      <sz val="8"/>
      <name val="Arial"/>
      <family val="2"/>
    </font>
    <font>
      <sz val="9"/>
      <name val="Arial"/>
      <family val="2"/>
    </font>
    <font>
      <b/>
      <sz val="9"/>
      <name val="Arial"/>
      <family val="2"/>
    </font>
    <font>
      <sz val="9"/>
      <name val="Arial Narrow"/>
      <family val="2"/>
    </font>
    <font>
      <b/>
      <vertAlign val="subscript"/>
      <sz val="9"/>
      <name val="Arial"/>
      <family val="2"/>
    </font>
    <font>
      <b/>
      <sz val="9"/>
      <name val="Arial Narrow"/>
      <family val="2"/>
    </font>
    <font>
      <sz val="10"/>
      <name val="Arial Narrow"/>
      <family val="2"/>
    </font>
    <font>
      <sz val="11"/>
      <name val="Arial"/>
      <family val="2"/>
    </font>
    <font>
      <b/>
      <i/>
      <sz val="14"/>
      <name val="Arial"/>
      <family val="2"/>
    </font>
    <font>
      <i/>
      <sz val="14"/>
      <name val="Arial"/>
      <family val="2"/>
    </font>
    <font>
      <sz val="9"/>
      <color indexed="10"/>
      <name val="Arial"/>
      <family val="2"/>
    </font>
    <font>
      <b/>
      <sz val="10"/>
      <color indexed="10"/>
      <name val="Arial"/>
      <family val="2"/>
    </font>
    <font>
      <sz val="12"/>
      <color indexed="10"/>
      <name val="Arial"/>
      <family val="2"/>
    </font>
    <font>
      <sz val="11"/>
      <color indexed="10"/>
      <name val="Arial"/>
      <family val="2"/>
    </font>
    <font>
      <i/>
      <sz val="12"/>
      <name val="Arial"/>
      <family val="2"/>
    </font>
    <font>
      <b/>
      <u/>
      <sz val="12"/>
      <name val="Arial"/>
      <family val="2"/>
    </font>
    <font>
      <sz val="12"/>
      <name val="Arial Unicode MS"/>
      <family val="2"/>
    </font>
    <font>
      <b/>
      <i/>
      <sz val="12"/>
      <name val="Arial"/>
      <family val="2"/>
    </font>
    <font>
      <sz val="10"/>
      <name val="Arial Unicode MS"/>
      <family val="2"/>
    </font>
    <font>
      <sz val="7"/>
      <name val="Arial"/>
      <family val="2"/>
    </font>
    <font>
      <sz val="12"/>
      <color indexed="55"/>
      <name val="Arial"/>
      <family val="2"/>
    </font>
    <font>
      <sz val="12"/>
      <color indexed="55"/>
      <name val="Arial"/>
      <family val="2"/>
    </font>
    <font>
      <b/>
      <sz val="11"/>
      <color indexed="8"/>
      <name val="Calibri"/>
      <family val="2"/>
    </font>
    <font>
      <b/>
      <sz val="10"/>
      <color indexed="8"/>
      <name val="Calibri"/>
      <family val="2"/>
    </font>
    <font>
      <b/>
      <sz val="11"/>
      <color indexed="9"/>
      <name val="Calibri"/>
      <family val="2"/>
    </font>
    <font>
      <b/>
      <i/>
      <sz val="11"/>
      <color indexed="8"/>
      <name val="Calibri"/>
      <family val="2"/>
    </font>
    <font>
      <i/>
      <sz val="11"/>
      <color indexed="8"/>
      <name val="Calibri"/>
      <family val="2"/>
    </font>
    <font>
      <sz val="12"/>
      <name val="Calibri"/>
      <family val="2"/>
    </font>
    <font>
      <u/>
      <sz val="12"/>
      <name val="Calibri"/>
      <family val="2"/>
    </font>
    <font>
      <b/>
      <sz val="18"/>
      <color indexed="9"/>
      <name val="Calibri"/>
      <family val="2"/>
    </font>
    <font>
      <sz val="14"/>
      <color indexed="9"/>
      <name val="Calibri"/>
      <family val="2"/>
    </font>
    <font>
      <b/>
      <i/>
      <sz val="11"/>
      <name val="Calibri"/>
      <family val="2"/>
    </font>
    <font>
      <b/>
      <sz val="14"/>
      <color indexed="8"/>
      <name val="Calibri"/>
      <family val="2"/>
    </font>
    <font>
      <sz val="9"/>
      <color indexed="8"/>
      <name val="Arial Narrow"/>
      <family val="2"/>
    </font>
    <font>
      <sz val="16"/>
      <color indexed="8"/>
      <name val="Calibri"/>
      <family val="2"/>
    </font>
    <font>
      <b/>
      <sz val="18"/>
      <name val="Arial"/>
      <family val="2"/>
    </font>
    <font>
      <sz val="10"/>
      <color indexed="8"/>
      <name val="Arial"/>
      <family val="2"/>
    </font>
    <font>
      <sz val="11"/>
      <color indexed="10"/>
      <name val="Calibri"/>
      <family val="2"/>
    </font>
    <font>
      <sz val="12"/>
      <color indexed="10"/>
      <name val="Calibri"/>
      <family val="2"/>
    </font>
    <font>
      <sz val="12"/>
      <color indexed="10"/>
      <name val="Arial"/>
      <family val="2"/>
    </font>
    <font>
      <b/>
      <sz val="12"/>
      <color indexed="10"/>
      <name val="Arial"/>
      <family val="2"/>
    </font>
    <font>
      <b/>
      <i/>
      <sz val="12"/>
      <color indexed="10"/>
      <name val="Arial"/>
      <family val="2"/>
    </font>
    <font>
      <sz val="10"/>
      <color indexed="10"/>
      <name val="Arial"/>
      <family val="2"/>
    </font>
    <font>
      <sz val="10"/>
      <color indexed="10"/>
      <name val="Arial Narrow"/>
      <family val="2"/>
    </font>
    <font>
      <sz val="10"/>
      <name val="Arial"/>
      <family val="2"/>
    </font>
    <font>
      <u/>
      <sz val="10"/>
      <color indexed="12"/>
      <name val="Arial"/>
      <family val="2"/>
    </font>
    <font>
      <sz val="10"/>
      <color indexed="8"/>
      <name val="Calibri"/>
      <family val="2"/>
    </font>
    <font>
      <sz val="11"/>
      <color theme="1"/>
      <name val="Calibri"/>
      <family val="2"/>
      <scheme val="minor"/>
    </font>
    <font>
      <sz val="9"/>
      <color indexed="81"/>
      <name val="Tahoma"/>
      <family val="2"/>
    </font>
    <font>
      <b/>
      <sz val="9"/>
      <color indexed="81"/>
      <name val="Tahoma"/>
      <family val="2"/>
    </font>
    <font>
      <sz val="12"/>
      <color rgb="FFFF0000"/>
      <name val="Arial"/>
      <family val="2"/>
    </font>
    <font>
      <sz val="14"/>
      <name val="Arial"/>
      <family val="2"/>
    </font>
    <font>
      <sz val="14"/>
      <color indexed="10"/>
      <name val="Arial"/>
      <family val="2"/>
    </font>
    <font>
      <sz val="16"/>
      <name val="Arial"/>
      <family val="2"/>
    </font>
    <font>
      <sz val="16"/>
      <color indexed="10"/>
      <name val="Arial"/>
      <family val="2"/>
    </font>
    <font>
      <b/>
      <i/>
      <sz val="16"/>
      <name val="Arial"/>
      <family val="2"/>
    </font>
    <font>
      <u/>
      <sz val="16"/>
      <name val="Arial"/>
      <family val="2"/>
    </font>
    <font>
      <b/>
      <u/>
      <sz val="16"/>
      <name val="Arial"/>
      <family val="2"/>
    </font>
    <font>
      <b/>
      <sz val="12"/>
      <color rgb="FFFF0000"/>
      <name val="Arial"/>
      <family val="2"/>
    </font>
    <font>
      <b/>
      <sz val="14"/>
      <name val="Arial"/>
      <family val="2"/>
    </font>
    <font>
      <b/>
      <sz val="10"/>
      <name val="Arial"/>
      <family val="2"/>
    </font>
    <font>
      <b/>
      <sz val="16"/>
      <color rgb="FFFF0000"/>
      <name val="Arial"/>
      <family val="2"/>
    </font>
    <font>
      <sz val="10"/>
      <color rgb="FFFF0000"/>
      <name val="Arial"/>
      <family val="2"/>
    </font>
    <font>
      <sz val="11"/>
      <color theme="1"/>
      <name val="Calibri"/>
      <family val="2"/>
    </font>
    <font>
      <b/>
      <u/>
      <sz val="12"/>
      <color rgb="FFFF0000"/>
      <name val="Arial"/>
      <family val="2"/>
    </font>
    <font>
      <sz val="12"/>
      <color theme="1"/>
      <name val="Arial"/>
      <family val="2"/>
    </font>
    <font>
      <sz val="12"/>
      <color indexed="8"/>
      <name val="Arial"/>
      <family val="2"/>
    </font>
    <font>
      <sz val="12"/>
      <color theme="1"/>
      <name val="Calibri"/>
      <family val="2"/>
      <scheme val="minor"/>
    </font>
    <font>
      <b/>
      <sz val="11"/>
      <color theme="1"/>
      <name val="Calibri"/>
      <family val="2"/>
      <scheme val="minor"/>
    </font>
    <font>
      <b/>
      <sz val="12"/>
      <color theme="1"/>
      <name val="Calibri"/>
      <family val="2"/>
    </font>
    <font>
      <sz val="12"/>
      <color theme="1"/>
      <name val="Calibri"/>
      <family val="2"/>
    </font>
    <font>
      <b/>
      <sz val="10"/>
      <color theme="1"/>
      <name val="Calibri"/>
      <family val="2"/>
      <scheme val="minor"/>
    </font>
    <font>
      <b/>
      <sz val="22"/>
      <color rgb="FFFF0000"/>
      <name val="Arial"/>
      <family val="2"/>
    </font>
    <font>
      <b/>
      <i/>
      <sz val="10"/>
      <color theme="1"/>
      <name val="Calibri"/>
      <family val="2"/>
      <scheme val="minor"/>
    </font>
    <font>
      <b/>
      <i/>
      <sz val="10"/>
      <name val="Calibri"/>
      <family val="2"/>
      <scheme val="minor"/>
    </font>
    <font>
      <b/>
      <sz val="18"/>
      <color theme="1"/>
      <name val="Calibri"/>
      <family val="2"/>
    </font>
    <font>
      <b/>
      <sz val="10"/>
      <name val="Calibri"/>
      <family val="2"/>
      <scheme val="minor"/>
    </font>
  </fonts>
  <fills count="3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27"/>
        <bgColor indexed="64"/>
      </patternFill>
    </fill>
    <fill>
      <patternFill patternType="solid">
        <fgColor indexed="8"/>
        <bgColor indexed="64"/>
      </patternFill>
    </fill>
    <fill>
      <patternFill patternType="solid">
        <fgColor indexed="63"/>
        <bgColor indexed="64"/>
      </patternFill>
    </fill>
    <fill>
      <patternFill patternType="solid">
        <fgColor indexed="23"/>
        <bgColor indexed="64"/>
      </patternFill>
    </fill>
    <fill>
      <patternFill patternType="solid">
        <fgColor indexed="22"/>
        <bgColor indexed="64"/>
      </patternFill>
    </fill>
    <fill>
      <patternFill patternType="solid">
        <fgColor indexed="29"/>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FF7C80"/>
        <bgColor indexed="64"/>
      </patternFill>
    </fill>
    <fill>
      <patternFill patternType="solid">
        <fgColor rgb="FFCFCFCF"/>
        <bgColor indexed="64"/>
      </patternFill>
    </fill>
    <fill>
      <patternFill patternType="solid">
        <fgColor rgb="FFFFCC0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99"/>
        <bgColor rgb="FF000000"/>
      </patternFill>
    </fill>
  </fills>
  <borders count="44">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indexed="9"/>
      </left>
      <right/>
      <top style="medium">
        <color auto="1"/>
      </top>
      <bottom/>
      <diagonal/>
    </border>
    <border>
      <left style="medium">
        <color auto="1"/>
      </left>
      <right style="thin">
        <color indexed="9"/>
      </right>
      <top style="thin">
        <color indexed="9"/>
      </top>
      <bottom style="thin">
        <color indexed="9"/>
      </bottom>
      <diagonal/>
    </border>
    <border>
      <left style="thin">
        <color indexed="9"/>
      </left>
      <right style="thin">
        <color indexed="9"/>
      </right>
      <top style="medium">
        <color auto="1"/>
      </top>
      <bottom/>
      <diagonal/>
    </border>
    <border>
      <left style="thin">
        <color auto="1"/>
      </left>
      <right style="medium">
        <color auto="1"/>
      </right>
      <top/>
      <bottom style="thin">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indexed="9"/>
      </left>
      <right style="thin">
        <color indexed="9"/>
      </right>
      <top style="thin">
        <color indexed="9"/>
      </top>
      <bottom style="thin">
        <color indexed="9"/>
      </bottom>
      <diagonal/>
    </border>
    <border>
      <left/>
      <right/>
      <top style="thin">
        <color indexed="9"/>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7">
    <xf numFmtId="0" fontId="0" fillId="0" borderId="0"/>
    <xf numFmtId="164" fontId="3"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0" fontId="52" fillId="0" borderId="0" applyNumberFormat="0" applyFill="0" applyBorder="0" applyAlignment="0" applyProtection="0">
      <alignment vertical="top"/>
      <protection locked="0"/>
    </xf>
    <xf numFmtId="0" fontId="54" fillId="0" borderId="0"/>
    <xf numFmtId="0" fontId="54" fillId="0" borderId="0"/>
    <xf numFmtId="0" fontId="4" fillId="0" borderId="0"/>
    <xf numFmtId="0" fontId="51" fillId="0" borderId="0" applyFont="0" applyFill="0" applyBorder="0" applyAlignment="0" applyProtection="0"/>
    <xf numFmtId="164" fontId="5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773">
    <xf numFmtId="0" fontId="0" fillId="0" borderId="0" xfId="0"/>
    <xf numFmtId="0" fontId="5" fillId="0" borderId="0" xfId="0" applyFont="1"/>
    <xf numFmtId="0" fontId="6" fillId="0" borderId="0" xfId="0" applyFont="1"/>
    <xf numFmtId="0" fontId="5" fillId="0" borderId="0" xfId="0" applyFont="1" applyBorder="1"/>
    <xf numFmtId="0" fontId="4" fillId="0" borderId="0" xfId="0" applyFont="1"/>
    <xf numFmtId="0" fontId="5" fillId="0" borderId="0" xfId="0" applyNumberFormat="1" applyFont="1" applyBorder="1"/>
    <xf numFmtId="0" fontId="4" fillId="0" borderId="0" xfId="0" applyNumberFormat="1" applyFont="1"/>
    <xf numFmtId="0" fontId="0" fillId="0" borderId="0" xfId="0" applyBorder="1"/>
    <xf numFmtId="0" fontId="8" fillId="0" borderId="0" xfId="0" applyFont="1"/>
    <xf numFmtId="0" fontId="17" fillId="0" borderId="0" xfId="0" applyFont="1"/>
    <xf numFmtId="0" fontId="4" fillId="0" borderId="0" xfId="0" applyFont="1" applyFill="1" applyBorder="1"/>
    <xf numFmtId="0" fontId="4" fillId="0" borderId="0" xfId="0" applyFont="1" applyBorder="1"/>
    <xf numFmtId="0" fontId="17" fillId="0" borderId="0" xfId="0" applyFont="1" applyBorder="1" applyAlignment="1">
      <alignment horizontal="center"/>
    </xf>
    <xf numFmtId="0" fontId="17" fillId="0" borderId="0" xfId="0" applyFont="1" applyBorder="1"/>
    <xf numFmtId="0" fontId="5" fillId="0" borderId="0" xfId="0" applyFont="1" applyBorder="1" applyAlignment="1">
      <alignment horizontal="centerContinuous"/>
    </xf>
    <xf numFmtId="0" fontId="14" fillId="0" borderId="0" xfId="0" applyFont="1"/>
    <xf numFmtId="0" fontId="20" fillId="0" borderId="0" xfId="0" applyFont="1"/>
    <xf numFmtId="0" fontId="14" fillId="0" borderId="0" xfId="0" applyFont="1" applyBorder="1"/>
    <xf numFmtId="0" fontId="20" fillId="0" borderId="0" xfId="0" applyFont="1" applyBorder="1" applyAlignment="1">
      <alignment horizontal="center"/>
    </xf>
    <xf numFmtId="0" fontId="20" fillId="0" borderId="0" xfId="0" applyFont="1" applyAlignment="1">
      <alignment horizontal="center"/>
    </xf>
    <xf numFmtId="0" fontId="20" fillId="0" borderId="0" xfId="0" applyFont="1" applyBorder="1"/>
    <xf numFmtId="0" fontId="14" fillId="0" borderId="0" xfId="0" applyFont="1" applyBorder="1" applyAlignment="1">
      <alignment horizontal="left" vertical="center" wrapText="1" indent="1"/>
    </xf>
    <xf numFmtId="0" fontId="4" fillId="2" borderId="0" xfId="0" applyFont="1" applyFill="1"/>
    <xf numFmtId="0" fontId="4" fillId="0" borderId="0" xfId="0" applyFont="1" applyAlignment="1">
      <alignment horizontal="center" wrapText="1"/>
    </xf>
    <xf numFmtId="0" fontId="0" fillId="0" borderId="0" xfId="0" applyAlignment="1">
      <alignment wrapText="1"/>
    </xf>
    <xf numFmtId="0" fontId="5" fillId="0" borderId="0" xfId="0" applyFont="1" applyBorder="1" applyAlignment="1">
      <alignment horizontal="center" wrapText="1"/>
    </xf>
    <xf numFmtId="0" fontId="4" fillId="0" borderId="0" xfId="0" applyFont="1" applyBorder="1" applyAlignment="1">
      <alignment horizontal="center" wrapText="1"/>
    </xf>
    <xf numFmtId="0" fontId="6" fillId="0" borderId="0" xfId="0" applyFont="1" applyBorder="1" applyAlignment="1">
      <alignment horizontal="center" wrapText="1"/>
    </xf>
    <xf numFmtId="0" fontId="5" fillId="2" borderId="0" xfId="0" applyFont="1" applyFill="1" applyBorder="1"/>
    <xf numFmtId="0" fontId="14" fillId="2" borderId="0" xfId="0" applyFont="1" applyFill="1" applyBorder="1" applyAlignment="1">
      <alignment horizontal="center" vertical="center" wrapText="1"/>
    </xf>
    <xf numFmtId="0" fontId="5" fillId="2" borderId="0" xfId="0" applyFont="1" applyFill="1"/>
    <xf numFmtId="0" fontId="5" fillId="0" borderId="0" xfId="0" applyFont="1" applyFill="1" applyBorder="1"/>
    <xf numFmtId="0" fontId="23" fillId="0" borderId="0" xfId="0" applyFont="1"/>
    <xf numFmtId="0" fontId="23" fillId="0" borderId="0" xfId="0" applyNumberFormat="1" applyFont="1" applyBorder="1"/>
    <xf numFmtId="0" fontId="5" fillId="0" borderId="0" xfId="0" applyNumberFormat="1" applyFont="1" applyBorder="1" applyAlignment="1">
      <alignment horizontal="centerContinuous"/>
    </xf>
    <xf numFmtId="0" fontId="23" fillId="0" borderId="0" xfId="0" applyFont="1" applyBorder="1"/>
    <xf numFmtId="0" fontId="5" fillId="0" borderId="13" xfId="0" applyFont="1" applyBorder="1"/>
    <xf numFmtId="0" fontId="16" fillId="0" borderId="0" xfId="0" applyFont="1" applyBorder="1" applyAlignment="1">
      <alignment horizontal="center" wrapText="1"/>
    </xf>
    <xf numFmtId="0" fontId="5" fillId="0" borderId="0" xfId="0" applyFont="1" applyBorder="1" applyAlignment="1">
      <alignment horizontal="left" vertical="center" wrapText="1" indent="1"/>
    </xf>
    <xf numFmtId="0" fontId="25" fillId="0" borderId="0" xfId="0" applyFont="1"/>
    <xf numFmtId="0" fontId="19" fillId="0" borderId="0" xfId="0" applyFont="1" applyBorder="1"/>
    <xf numFmtId="0" fontId="19" fillId="0" borderId="0" xfId="0" applyFont="1"/>
    <xf numFmtId="0" fontId="5" fillId="2" borderId="0"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NumberFormat="1" applyFont="1" applyFill="1" applyBorder="1" applyAlignment="1">
      <alignment horizontal="center" wrapText="1"/>
    </xf>
    <xf numFmtId="0" fontId="5" fillId="0" borderId="0" xfId="0" applyNumberFormat="1" applyFont="1" applyFill="1" applyBorder="1" applyAlignment="1">
      <alignment horizontal="center"/>
    </xf>
    <xf numFmtId="0" fontId="5" fillId="2" borderId="0" xfId="0" applyNumberFormat="1" applyFont="1" applyFill="1" applyBorder="1" applyAlignment="1">
      <alignment horizontal="center"/>
    </xf>
    <xf numFmtId="0" fontId="24" fillId="0" borderId="0" xfId="0" applyFont="1" applyBorder="1" applyAlignment="1">
      <alignment horizontal="left" vertical="center" wrapText="1"/>
    </xf>
    <xf numFmtId="0" fontId="24" fillId="0" borderId="0" xfId="0" applyFont="1" applyBorder="1" applyAlignment="1">
      <alignment horizontal="center" vertical="center" wrapText="1"/>
    </xf>
    <xf numFmtId="0" fontId="4" fillId="0" borderId="15" xfId="0" applyFont="1" applyBorder="1"/>
    <xf numFmtId="0" fontId="4" fillId="0" borderId="15" xfId="0" applyFont="1" applyBorder="1" applyAlignment="1">
      <alignment horizontal="center" wrapText="1"/>
    </xf>
    <xf numFmtId="0" fontId="4" fillId="0" borderId="15" xfId="0" applyNumberFormat="1" applyFont="1" applyBorder="1"/>
    <xf numFmtId="0" fontId="4" fillId="0" borderId="0" xfId="0" applyNumberFormat="1" applyFont="1" applyBorder="1"/>
    <xf numFmtId="0" fontId="5" fillId="0" borderId="0" xfId="0" applyFont="1" applyBorder="1" applyAlignment="1">
      <alignment horizontal="left" wrapText="1"/>
    </xf>
    <xf numFmtId="0" fontId="16" fillId="0" borderId="0" xfId="0" applyFont="1" applyBorder="1" applyAlignment="1">
      <alignment horizontal="center" vertical="top" wrapText="1"/>
    </xf>
    <xf numFmtId="0" fontId="4" fillId="0" borderId="15" xfId="0" applyFont="1" applyBorder="1" applyAlignment="1">
      <alignment horizontal="center" vertical="top"/>
    </xf>
    <xf numFmtId="0" fontId="4" fillId="0" borderId="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top" wrapText="1"/>
    </xf>
    <xf numFmtId="0" fontId="14" fillId="2" borderId="0" xfId="0" applyFont="1" applyFill="1" applyBorder="1" applyAlignment="1">
      <alignment horizontal="center" vertical="top"/>
    </xf>
    <xf numFmtId="0" fontId="14" fillId="2" borderId="0" xfId="0" applyNumberFormat="1" applyFont="1" applyFill="1" applyBorder="1" applyAlignment="1">
      <alignment horizontal="center" vertical="top"/>
    </xf>
    <xf numFmtId="0" fontId="5" fillId="2" borderId="0" xfId="0" applyNumberFormat="1" applyFont="1" applyFill="1" applyBorder="1" applyAlignment="1">
      <alignment horizontal="center" vertical="top"/>
    </xf>
    <xf numFmtId="0" fontId="5" fillId="0" borderId="0" xfId="0" applyFont="1" applyBorder="1" applyAlignment="1">
      <alignment horizontal="left" indent="1"/>
    </xf>
    <xf numFmtId="0" fontId="5" fillId="4" borderId="0" xfId="0" applyFont="1" applyFill="1" applyBorder="1" applyAlignment="1">
      <alignment horizontal="center" wrapText="1"/>
    </xf>
    <xf numFmtId="0" fontId="5" fillId="4" borderId="0" xfId="0" applyFont="1" applyFill="1" applyBorder="1"/>
    <xf numFmtId="0" fontId="7" fillId="0" borderId="0" xfId="0" applyNumberFormat="1" applyFont="1" applyAlignment="1">
      <alignment horizontal="left" indent="1"/>
    </xf>
    <xf numFmtId="0" fontId="26" fillId="0" borderId="0" xfId="0" applyFont="1" applyBorder="1" applyAlignment="1">
      <alignment horizontal="left" indent="1"/>
    </xf>
    <xf numFmtId="0" fontId="6" fillId="0" borderId="0" xfId="0" applyNumberFormat="1" applyFont="1" applyBorder="1" applyAlignment="1" applyProtection="1">
      <alignment horizontal="left" indent="1"/>
      <protection locked="0"/>
    </xf>
    <xf numFmtId="0" fontId="6" fillId="0" borderId="0" xfId="0" applyNumberFormat="1" applyFont="1" applyBorder="1" applyAlignment="1">
      <alignment horizontal="left" indent="1"/>
    </xf>
    <xf numFmtId="0" fontId="5" fillId="0" borderId="0" xfId="0" applyNumberFormat="1" applyFont="1" applyBorder="1" applyAlignment="1" applyProtection="1">
      <alignment horizontal="left" indent="1"/>
    </xf>
    <xf numFmtId="0" fontId="5" fillId="0" borderId="0" xfId="0" applyNumberFormat="1" applyFont="1" applyBorder="1" applyAlignment="1">
      <alignment horizontal="left" indent="1"/>
    </xf>
    <xf numFmtId="0" fontId="23" fillId="0" borderId="0" xfId="0" applyNumberFormat="1" applyFont="1" applyBorder="1" applyAlignment="1">
      <alignment horizontal="left" indent="1"/>
    </xf>
    <xf numFmtId="0" fontId="4" fillId="0" borderId="0" xfId="0" applyFont="1" applyAlignment="1">
      <alignment horizontal="center" vertical="top"/>
    </xf>
    <xf numFmtId="0" fontId="6" fillId="0" borderId="0" xfId="0" applyFont="1" applyBorder="1"/>
    <xf numFmtId="0" fontId="5" fillId="2" borderId="0" xfId="0" applyFont="1" applyFill="1" applyBorder="1" applyAlignment="1">
      <alignment horizontal="center" wrapText="1"/>
    </xf>
    <xf numFmtId="0" fontId="5" fillId="4" borderId="17" xfId="0" applyFont="1" applyFill="1" applyBorder="1" applyAlignment="1">
      <alignment horizontal="left" indent="1"/>
    </xf>
    <xf numFmtId="0" fontId="5" fillId="0" borderId="0" xfId="0" applyFont="1" applyBorder="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5" borderId="0" xfId="0"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vertical="center"/>
    </xf>
    <xf numFmtId="0" fontId="4" fillId="0" borderId="0" xfId="0" applyFont="1" applyAlignment="1">
      <alignment vertical="center"/>
    </xf>
    <xf numFmtId="0" fontId="17" fillId="0" borderId="0" xfId="0" applyFont="1" applyBorder="1" applyAlignment="1">
      <alignment wrapText="1"/>
    </xf>
    <xf numFmtId="0" fontId="5" fillId="4" borderId="0" xfId="0" applyFont="1" applyFill="1" applyBorder="1" applyAlignment="1">
      <alignment horizontal="center" vertical="top"/>
    </xf>
    <xf numFmtId="0" fontId="5" fillId="4" borderId="0" xfId="0" applyNumberFormat="1" applyFont="1" applyFill="1" applyBorder="1"/>
    <xf numFmtId="0" fontId="6" fillId="2" borderId="0" xfId="0" applyFont="1" applyFill="1" applyBorder="1"/>
    <xf numFmtId="0" fontId="5" fillId="2" borderId="0" xfId="0" applyFont="1" applyFill="1" applyBorder="1" applyAlignment="1">
      <alignment horizontal="center" vertical="top"/>
    </xf>
    <xf numFmtId="0" fontId="5" fillId="2" borderId="0" xfId="0" applyNumberFormat="1" applyFont="1" applyFill="1" applyBorder="1"/>
    <xf numFmtId="0" fontId="5" fillId="2" borderId="0" xfId="0" applyNumberFormat="1" applyFont="1" applyFill="1" applyBorder="1" applyAlignment="1">
      <alignment horizontal="left" indent="1"/>
    </xf>
    <xf numFmtId="0" fontId="5" fillId="0" borderId="0" xfId="0" applyNumberFormat="1" applyFont="1" applyBorder="1" applyAlignment="1" applyProtection="1">
      <alignment horizontal="left" indent="1"/>
    </xf>
    <xf numFmtId="0" fontId="5" fillId="5" borderId="0" xfId="0" applyFont="1" applyFill="1" applyBorder="1"/>
    <xf numFmtId="0" fontId="5" fillId="5" borderId="0" xfId="0" applyFont="1" applyFill="1" applyBorder="1" applyAlignment="1">
      <alignment horizontal="center" vertical="top"/>
    </xf>
    <xf numFmtId="0" fontId="5" fillId="5" borderId="0" xfId="0" applyFont="1" applyFill="1" applyBorder="1" applyAlignment="1">
      <alignment horizontal="left"/>
    </xf>
    <xf numFmtId="0" fontId="27" fillId="0" borderId="0" xfId="0" applyNumberFormat="1" applyFont="1" applyBorder="1"/>
    <xf numFmtId="0" fontId="5" fillId="5" borderId="0" xfId="0" applyFont="1" applyFill="1" applyBorder="1" applyAlignment="1">
      <alignment vertical="center"/>
    </xf>
    <xf numFmtId="0" fontId="5" fillId="5" borderId="0" xfId="0" applyNumberFormat="1" applyFont="1" applyFill="1" applyBorder="1" applyAlignment="1">
      <alignment horizontal="center" vertical="top"/>
    </xf>
    <xf numFmtId="0" fontId="5" fillId="5" borderId="0" xfId="5" applyFont="1" applyFill="1" applyBorder="1" applyAlignment="1">
      <alignment horizontal="left" vertical="center"/>
    </xf>
    <xf numFmtId="0" fontId="5" fillId="5" borderId="0" xfId="0" applyFont="1" applyFill="1" applyBorder="1" applyAlignment="1">
      <alignment horizontal="center" vertical="center"/>
    </xf>
    <xf numFmtId="0" fontId="21" fillId="0" borderId="0" xfId="0" applyFont="1" applyBorder="1" applyAlignment="1">
      <alignment horizontal="right"/>
    </xf>
    <xf numFmtId="0" fontId="5" fillId="5" borderId="0" xfId="0" applyFont="1" applyFill="1" applyBorder="1" applyAlignment="1">
      <alignment horizontal="center" vertical="top" wrapText="1"/>
    </xf>
    <xf numFmtId="0" fontId="5" fillId="5" borderId="0" xfId="5" applyFont="1" applyFill="1" applyBorder="1" applyAlignment="1">
      <alignment vertical="center"/>
    </xf>
    <xf numFmtId="0" fontId="5" fillId="5" borderId="0" xfId="0" applyFont="1" applyFill="1" applyBorder="1" applyAlignment="1">
      <alignment horizontal="center" vertical="center" wrapText="1"/>
    </xf>
    <xf numFmtId="0" fontId="5" fillId="5" borderId="0" xfId="5" applyFont="1" applyFill="1" applyBorder="1"/>
    <xf numFmtId="0" fontId="5" fillId="5" borderId="0" xfId="0" applyFont="1" applyFill="1" applyBorder="1" applyAlignment="1"/>
    <xf numFmtId="0" fontId="6" fillId="2" borderId="0" xfId="0" applyNumberFormat="1" applyFont="1" applyFill="1" applyBorder="1" applyAlignment="1">
      <alignment horizontal="left" indent="1"/>
    </xf>
    <xf numFmtId="0" fontId="5" fillId="5" borderId="0" xfId="5" applyFont="1" applyFill="1" applyBorder="1" applyAlignment="1">
      <alignment horizontal="center"/>
    </xf>
    <xf numFmtId="0" fontId="5" fillId="5" borderId="0" xfId="0" applyNumberFormat="1" applyFont="1" applyFill="1" applyBorder="1" applyAlignment="1">
      <alignment horizontal="center" vertical="center"/>
    </xf>
    <xf numFmtId="0" fontId="5" fillId="3" borderId="0" xfId="0" applyNumberFormat="1" applyFont="1" applyFill="1" applyBorder="1" applyAlignment="1">
      <alignment horizontal="center"/>
    </xf>
    <xf numFmtId="0" fontId="6" fillId="0" borderId="19" xfId="0" applyFont="1" applyBorder="1" applyAlignment="1">
      <alignment horizontal="center" vertical="center" wrapText="1"/>
    </xf>
    <xf numFmtId="0" fontId="6" fillId="0" borderId="6" xfId="0" applyFont="1" applyBorder="1" applyAlignment="1">
      <alignment horizontal="left" vertical="center" wrapText="1" indent="1"/>
    </xf>
    <xf numFmtId="0" fontId="6" fillId="2" borderId="6" xfId="0" applyNumberFormat="1" applyFont="1" applyFill="1" applyBorder="1" applyAlignment="1">
      <alignment horizontal="center" vertical="top"/>
    </xf>
    <xf numFmtId="0" fontId="6" fillId="2" borderId="6" xfId="0" applyFont="1" applyFill="1" applyBorder="1" applyAlignment="1">
      <alignment horizontal="center" vertical="center" wrapText="1"/>
    </xf>
    <xf numFmtId="0" fontId="6" fillId="0" borderId="6" xfId="0" applyNumberFormat="1" applyFont="1" applyBorder="1"/>
    <xf numFmtId="0" fontId="5" fillId="0" borderId="6" xfId="0" applyFont="1" applyBorder="1"/>
    <xf numFmtId="0" fontId="5" fillId="0" borderId="6" xfId="0" applyFont="1" applyBorder="1" applyAlignment="1">
      <alignment horizontal="left" indent="1"/>
    </xf>
    <xf numFmtId="0" fontId="6" fillId="0" borderId="20" xfId="0" applyFont="1" applyBorder="1" applyAlignment="1">
      <alignment wrapText="1"/>
    </xf>
    <xf numFmtId="0" fontId="5" fillId="0" borderId="21" xfId="0" applyFont="1" applyBorder="1" applyAlignment="1">
      <alignment horizontal="center" vertical="center"/>
    </xf>
    <xf numFmtId="0" fontId="19" fillId="0" borderId="1" xfId="0" applyFont="1" applyBorder="1" applyAlignment="1">
      <alignment wrapText="1"/>
    </xf>
    <xf numFmtId="0" fontId="5" fillId="2" borderId="21" xfId="0" applyFont="1" applyFill="1" applyBorder="1" applyAlignment="1">
      <alignment horizontal="center" vertical="center"/>
    </xf>
    <xf numFmtId="0" fontId="5" fillId="2" borderId="1" xfId="0" applyFont="1" applyFill="1" applyBorder="1" applyAlignment="1">
      <alignment wrapText="1"/>
    </xf>
    <xf numFmtId="0" fontId="5" fillId="0" borderId="1" xfId="0" applyFont="1" applyBorder="1" applyAlignment="1">
      <alignment wrapText="1"/>
    </xf>
    <xf numFmtId="0" fontId="23" fillId="0" borderId="21" xfId="0" applyFont="1" applyBorder="1" applyAlignment="1">
      <alignment horizontal="center" vertical="center"/>
    </xf>
    <xf numFmtId="0" fontId="23" fillId="0" borderId="1" xfId="0" applyFont="1" applyBorder="1" applyAlignment="1">
      <alignment wrapText="1"/>
    </xf>
    <xf numFmtId="0" fontId="5" fillId="0" borderId="22" xfId="0" applyFont="1" applyBorder="1" applyAlignment="1">
      <alignment horizontal="center" vertical="center"/>
    </xf>
    <xf numFmtId="0" fontId="5" fillId="0" borderId="2" xfId="0" applyFont="1" applyBorder="1"/>
    <xf numFmtId="0" fontId="5" fillId="0" borderId="2" xfId="0" applyFont="1" applyBorder="1" applyAlignment="1">
      <alignment horizontal="center" vertical="top"/>
    </xf>
    <xf numFmtId="0" fontId="5" fillId="0" borderId="2" xfId="0" applyFont="1" applyBorder="1" applyAlignment="1">
      <alignment horizontal="center" wrapText="1"/>
    </xf>
    <xf numFmtId="0" fontId="5" fillId="0" borderId="2" xfId="0" applyNumberFormat="1" applyFont="1" applyBorder="1" applyAlignment="1" applyProtection="1">
      <alignment horizontal="left" indent="1"/>
    </xf>
    <xf numFmtId="0" fontId="5" fillId="0" borderId="3" xfId="0" applyFont="1" applyBorder="1" applyAlignment="1">
      <alignment wrapText="1"/>
    </xf>
    <xf numFmtId="0" fontId="6" fillId="2" borderId="21" xfId="0" applyFont="1" applyFill="1" applyBorder="1" applyAlignment="1">
      <alignment horizontal="center" vertical="center" wrapText="1"/>
    </xf>
    <xf numFmtId="0" fontId="5" fillId="5" borderId="0" xfId="0" applyFont="1" applyFill="1" applyBorder="1" applyAlignment="1">
      <alignment horizontal="left" indent="2"/>
    </xf>
    <xf numFmtId="0" fontId="5" fillId="5" borderId="0" xfId="0" applyFont="1" applyFill="1" applyBorder="1" applyAlignment="1">
      <alignment horizontal="left" vertical="top" wrapText="1" indent="2"/>
    </xf>
    <xf numFmtId="0" fontId="5" fillId="5" borderId="0" xfId="5" applyFont="1" applyFill="1" applyBorder="1" applyAlignment="1">
      <alignment horizontal="left" indent="2"/>
    </xf>
    <xf numFmtId="0" fontId="4" fillId="0" borderId="22" xfId="0" applyFont="1" applyBorder="1" applyAlignment="1">
      <alignment horizontal="center" vertical="center"/>
    </xf>
    <xf numFmtId="0" fontId="4" fillId="0" borderId="2" xfId="0" applyFont="1" applyBorder="1"/>
    <xf numFmtId="0" fontId="4" fillId="0" borderId="2" xfId="0" applyFont="1" applyBorder="1" applyAlignment="1">
      <alignment horizontal="center" vertical="top"/>
    </xf>
    <xf numFmtId="0" fontId="4" fillId="0" borderId="2" xfId="0" applyFont="1" applyBorder="1" applyAlignment="1">
      <alignment horizontal="center" wrapText="1"/>
    </xf>
    <xf numFmtId="0" fontId="4" fillId="0" borderId="2" xfId="0" applyNumberFormat="1" applyFont="1" applyBorder="1"/>
    <xf numFmtId="0" fontId="7" fillId="0" borderId="2" xfId="0" applyNumberFormat="1" applyFont="1" applyBorder="1" applyAlignment="1">
      <alignment horizontal="left" indent="1"/>
    </xf>
    <xf numFmtId="0" fontId="0" fillId="0" borderId="3" xfId="0" applyBorder="1" applyAlignment="1">
      <alignment wrapText="1"/>
    </xf>
    <xf numFmtId="0" fontId="2" fillId="0" borderId="0" xfId="6" applyFont="1"/>
    <xf numFmtId="0" fontId="2" fillId="0" borderId="0" xfId="6" applyFont="1" applyAlignment="1">
      <alignment wrapText="1"/>
    </xf>
    <xf numFmtId="0" fontId="2" fillId="0" borderId="0" xfId="6" applyFont="1" applyAlignment="1">
      <alignment horizontal="center"/>
    </xf>
    <xf numFmtId="0" fontId="2" fillId="0" borderId="0" xfId="6" applyFont="1" applyAlignment="1">
      <alignment horizontal="left" wrapText="1"/>
    </xf>
    <xf numFmtId="0" fontId="29" fillId="0" borderId="0" xfId="6" applyFont="1" applyAlignment="1">
      <alignment horizontal="center"/>
    </xf>
    <xf numFmtId="164" fontId="2" fillId="0" borderId="0" xfId="3" applyFont="1" applyFill="1"/>
    <xf numFmtId="0" fontId="2" fillId="7" borderId="0" xfId="6" applyFont="1" applyFill="1"/>
    <xf numFmtId="0" fontId="2" fillId="0" borderId="0" xfId="6" applyNumberFormat="1" applyFont="1"/>
    <xf numFmtId="0" fontId="6" fillId="4" borderId="0" xfId="7" applyFont="1" applyFill="1" applyBorder="1" applyAlignment="1">
      <alignment wrapText="1"/>
    </xf>
    <xf numFmtId="0" fontId="29" fillId="7" borderId="0" xfId="6" applyFont="1" applyFill="1"/>
    <xf numFmtId="164" fontId="2" fillId="3" borderId="7" xfId="3" applyFont="1" applyFill="1" applyBorder="1"/>
    <xf numFmtId="0" fontId="2" fillId="0" borderId="21" xfId="6" applyFont="1" applyBorder="1" applyAlignment="1">
      <alignment horizontal="center"/>
    </xf>
    <xf numFmtId="0" fontId="2" fillId="0" borderId="0" xfId="6" applyFont="1" applyBorder="1" applyAlignment="1">
      <alignment wrapText="1"/>
    </xf>
    <xf numFmtId="0" fontId="2" fillId="0" borderId="0" xfId="6" applyFont="1" applyBorder="1"/>
    <xf numFmtId="164" fontId="0" fillId="0" borderId="0" xfId="2" applyFont="1" applyFill="1" applyBorder="1"/>
    <xf numFmtId="0" fontId="2" fillId="0" borderId="1" xfId="6" applyFont="1" applyBorder="1" applyAlignment="1">
      <alignment wrapText="1"/>
    </xf>
    <xf numFmtId="0" fontId="2" fillId="4" borderId="21" xfId="6" applyFont="1" applyFill="1" applyBorder="1"/>
    <xf numFmtId="0" fontId="6" fillId="4" borderId="1" xfId="7" applyFont="1" applyFill="1" applyBorder="1"/>
    <xf numFmtId="0" fontId="2" fillId="0" borderId="22" xfId="6" applyFont="1" applyBorder="1" applyAlignment="1">
      <alignment horizontal="center"/>
    </xf>
    <xf numFmtId="0" fontId="2" fillId="0" borderId="2" xfId="6" applyFont="1" applyBorder="1" applyAlignment="1">
      <alignment wrapText="1"/>
    </xf>
    <xf numFmtId="0" fontId="2" fillId="0" borderId="2" xfId="6" applyFont="1" applyBorder="1"/>
    <xf numFmtId="0" fontId="2" fillId="0" borderId="3" xfId="6" applyFont="1" applyBorder="1" applyAlignment="1">
      <alignment wrapText="1"/>
    </xf>
    <xf numFmtId="0" fontId="29" fillId="0" borderId="6" xfId="6" applyFont="1" applyBorder="1" applyAlignment="1">
      <alignment horizontal="center" wrapText="1"/>
    </xf>
    <xf numFmtId="0" fontId="29" fillId="0" borderId="6" xfId="6" applyFont="1" applyBorder="1" applyAlignment="1">
      <alignment horizontal="center"/>
    </xf>
    <xf numFmtId="0" fontId="29" fillId="0" borderId="20" xfId="6" applyFont="1" applyBorder="1" applyAlignment="1">
      <alignment horizontal="center" wrapText="1"/>
    </xf>
    <xf numFmtId="0" fontId="29" fillId="0" borderId="21" xfId="6" applyFont="1" applyBorder="1" applyAlignment="1">
      <alignment horizontal="center" wrapText="1"/>
    </xf>
    <xf numFmtId="0" fontId="2" fillId="4" borderId="0" xfId="6" applyFont="1" applyFill="1" applyBorder="1"/>
    <xf numFmtId="0" fontId="2" fillId="4" borderId="1" xfId="6" applyFont="1" applyFill="1" applyBorder="1" applyAlignment="1">
      <alignment wrapText="1"/>
    </xf>
    <xf numFmtId="0" fontId="2" fillId="0" borderId="1" xfId="6" applyFont="1" applyBorder="1"/>
    <xf numFmtId="0" fontId="2" fillId="8" borderId="7" xfId="6" applyNumberFormat="1" applyFont="1" applyFill="1" applyBorder="1"/>
    <xf numFmtId="164" fontId="2" fillId="8" borderId="7" xfId="3" applyFont="1" applyFill="1" applyBorder="1"/>
    <xf numFmtId="166" fontId="5" fillId="0" borderId="0" xfId="0" applyNumberFormat="1" applyFont="1" applyFill="1" applyBorder="1" applyAlignment="1">
      <alignment horizontal="center"/>
    </xf>
    <xf numFmtId="0" fontId="5" fillId="0" borderId="0" xfId="0" applyFont="1" applyFill="1" applyBorder="1" applyAlignment="1">
      <alignment horizontal="center" vertical="top"/>
    </xf>
    <xf numFmtId="0" fontId="5" fillId="0" borderId="0" xfId="0" applyNumberFormat="1" applyFont="1" applyFill="1" applyBorder="1" applyAlignment="1">
      <alignment horizontal="right" wrapText="1"/>
    </xf>
    <xf numFmtId="0" fontId="32" fillId="0" borderId="0" xfId="0" applyFont="1" applyAlignment="1">
      <alignment horizontal="left"/>
    </xf>
    <xf numFmtId="0" fontId="0" fillId="0" borderId="0" xfId="0" applyFill="1" applyBorder="1"/>
    <xf numFmtId="0" fontId="33" fillId="0" borderId="0" xfId="0" applyFont="1"/>
    <xf numFmtId="0" fontId="32" fillId="0" borderId="0" xfId="0" applyFont="1"/>
    <xf numFmtId="0" fontId="31" fillId="9" borderId="14" xfId="0" applyFont="1" applyFill="1" applyBorder="1" applyAlignment="1">
      <alignment horizontal="center" vertical="center"/>
    </xf>
    <xf numFmtId="0" fontId="31" fillId="9" borderId="23" xfId="0" applyFont="1" applyFill="1" applyBorder="1" applyAlignment="1">
      <alignment horizontal="center" vertical="center"/>
    </xf>
    <xf numFmtId="0" fontId="36" fillId="9" borderId="24" xfId="0" applyFont="1" applyFill="1" applyBorder="1" applyAlignment="1">
      <alignment horizontal="center" vertical="center"/>
    </xf>
    <xf numFmtId="0" fontId="36"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1" fillId="9" borderId="25" xfId="0" applyFont="1" applyFill="1" applyBorder="1" applyAlignment="1">
      <alignment horizontal="center" vertical="center"/>
    </xf>
    <xf numFmtId="0" fontId="31" fillId="9" borderId="16" xfId="0"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vertical="center" wrapText="1"/>
    </xf>
    <xf numFmtId="0" fontId="0" fillId="0" borderId="27" xfId="0" applyBorder="1" applyAlignment="1">
      <alignment horizontal="center" vertical="center"/>
    </xf>
    <xf numFmtId="0" fontId="0" fillId="0" borderId="18" xfId="0" applyBorder="1" applyAlignment="1">
      <alignment vertical="center" wrapText="1"/>
    </xf>
    <xf numFmtId="0" fontId="40" fillId="0" borderId="0" xfId="0" applyFont="1" applyAlignment="1">
      <alignment vertical="center"/>
    </xf>
    <xf numFmtId="0" fontId="39" fillId="2" borderId="11" xfId="0" applyFont="1" applyFill="1" applyBorder="1" applyAlignment="1">
      <alignment horizontal="center" vertical="center"/>
    </xf>
    <xf numFmtId="0" fontId="0" fillId="2" borderId="0" xfId="0" applyFill="1" applyBorder="1" applyAlignment="1">
      <alignment vertical="center" wrapText="1"/>
    </xf>
    <xf numFmtId="0" fontId="41" fillId="2" borderId="0" xfId="0" applyFont="1" applyFill="1" applyBorder="1" applyAlignment="1">
      <alignment horizontal="center" vertical="center"/>
    </xf>
    <xf numFmtId="0" fontId="40" fillId="0" borderId="0" xfId="0" applyFont="1" applyFill="1" applyBorder="1" applyAlignment="1">
      <alignment vertical="center"/>
    </xf>
    <xf numFmtId="0" fontId="5" fillId="0" borderId="21" xfId="0" applyFont="1" applyBorder="1" applyAlignment="1">
      <alignment horizontal="center" vertical="top"/>
    </xf>
    <xf numFmtId="0" fontId="5" fillId="2" borderId="0" xfId="0" applyFont="1" applyFill="1" applyBorder="1" applyAlignment="1">
      <alignment horizontal="center" vertical="top" wrapText="1"/>
    </xf>
    <xf numFmtId="0" fontId="5" fillId="0" borderId="0" xfId="0" applyNumberFormat="1" applyFont="1" applyFill="1" applyBorder="1" applyAlignment="1">
      <alignment horizontal="center" vertical="top"/>
    </xf>
    <xf numFmtId="0" fontId="5" fillId="0" borderId="0" xfId="0" applyFont="1" applyAlignment="1">
      <alignment vertical="top"/>
    </xf>
    <xf numFmtId="166" fontId="5" fillId="0" borderId="0" xfId="0" applyNumberFormat="1" applyFont="1" applyFill="1" applyBorder="1" applyAlignment="1">
      <alignment horizontal="center" vertical="top"/>
    </xf>
    <xf numFmtId="0" fontId="0" fillId="0" borderId="0" xfId="0" applyAlignment="1">
      <alignment vertical="top"/>
    </xf>
    <xf numFmtId="0" fontId="39" fillId="10" borderId="28" xfId="0" applyFont="1" applyFill="1" applyBorder="1" applyAlignment="1">
      <alignment horizontal="center" vertical="center"/>
    </xf>
    <xf numFmtId="0" fontId="39" fillId="11" borderId="28" xfId="0" applyFont="1" applyFill="1" applyBorder="1" applyAlignment="1">
      <alignment horizontal="center" vertical="center"/>
    </xf>
    <xf numFmtId="0" fontId="39" fillId="4" borderId="28" xfId="0" applyFont="1" applyFill="1" applyBorder="1" applyAlignment="1">
      <alignment horizontal="center" vertical="center"/>
    </xf>
    <xf numFmtId="0" fontId="39" fillId="12" borderId="29" xfId="0" applyFont="1" applyFill="1" applyBorder="1" applyAlignment="1">
      <alignment horizontal="center" vertical="center"/>
    </xf>
    <xf numFmtId="0" fontId="46" fillId="5" borderId="0" xfId="0" applyFont="1" applyFill="1" applyBorder="1" applyAlignment="1">
      <alignment horizontal="left" indent="2"/>
    </xf>
    <xf numFmtId="0" fontId="46" fillId="5" borderId="0" xfId="0" applyFont="1" applyFill="1" applyBorder="1" applyAlignment="1">
      <alignment horizontal="center" vertical="top"/>
    </xf>
    <xf numFmtId="0" fontId="46" fillId="0" borderId="21" xfId="0" applyFont="1" applyBorder="1" applyAlignment="1">
      <alignment horizontal="center" vertical="center"/>
    </xf>
    <xf numFmtId="0" fontId="46" fillId="5" borderId="0" xfId="0" applyFont="1" applyFill="1" applyBorder="1" applyAlignment="1">
      <alignment vertical="center"/>
    </xf>
    <xf numFmtId="0" fontId="46" fillId="0" borderId="0" xfId="0" applyFont="1" applyBorder="1" applyAlignment="1">
      <alignment horizontal="center" wrapText="1"/>
    </xf>
    <xf numFmtId="0" fontId="46" fillId="0" borderId="0" xfId="0" applyNumberFormat="1" applyFont="1" applyBorder="1"/>
    <xf numFmtId="0" fontId="46" fillId="5" borderId="0" xfId="0" applyFont="1" applyFill="1" applyBorder="1" applyAlignment="1">
      <alignment horizontal="center" vertical="center"/>
    </xf>
    <xf numFmtId="0" fontId="46" fillId="0" borderId="0" xfId="0" applyFont="1" applyFill="1" applyBorder="1" applyAlignment="1">
      <alignment vertical="center"/>
    </xf>
    <xf numFmtId="0" fontId="46" fillId="5" borderId="0" xfId="0" applyFont="1" applyFill="1" applyBorder="1" applyAlignment="1">
      <alignment horizontal="center"/>
    </xf>
    <xf numFmtId="0" fontId="46" fillId="0" borderId="0" xfId="0" applyNumberFormat="1" applyFont="1" applyBorder="1" applyAlignment="1">
      <alignment vertical="center"/>
    </xf>
    <xf numFmtId="0" fontId="48" fillId="0" borderId="0" xfId="0" applyFont="1" applyBorder="1" applyAlignment="1">
      <alignment horizontal="left" vertical="center"/>
    </xf>
    <xf numFmtId="0" fontId="1" fillId="0" borderId="0" xfId="6" applyFont="1" applyBorder="1"/>
    <xf numFmtId="0" fontId="46" fillId="5" borderId="0" xfId="0" applyFont="1" applyFill="1" applyBorder="1" applyAlignment="1">
      <alignment horizontal="center" vertical="top" wrapText="1"/>
    </xf>
    <xf numFmtId="0" fontId="2" fillId="8" borderId="7" xfId="6" applyNumberFormat="1" applyFont="1" applyFill="1" applyBorder="1"/>
    <xf numFmtId="0" fontId="2" fillId="0" borderId="0" xfId="6" applyFont="1" applyFill="1" applyBorder="1" applyAlignment="1">
      <alignment wrapText="1"/>
    </xf>
    <xf numFmtId="0" fontId="2" fillId="0" borderId="0" xfId="6" applyFont="1" applyFill="1" applyBorder="1"/>
    <xf numFmtId="0" fontId="2" fillId="0" borderId="0" xfId="6" applyFont="1" applyFill="1" applyBorder="1" applyAlignment="1">
      <alignment horizontal="left" wrapText="1"/>
    </xf>
    <xf numFmtId="0" fontId="2" fillId="0" borderId="2" xfId="6" applyFont="1" applyFill="1" applyBorder="1"/>
    <xf numFmtId="0" fontId="29" fillId="0" borderId="6" xfId="6" applyFont="1" applyFill="1" applyBorder="1" applyAlignment="1">
      <alignment horizontal="center" wrapText="1"/>
    </xf>
    <xf numFmtId="0" fontId="29" fillId="0" borderId="6" xfId="6" applyFont="1" applyFill="1" applyBorder="1" applyAlignment="1">
      <alignment horizontal="center"/>
    </xf>
    <xf numFmtId="164" fontId="0" fillId="13" borderId="7" xfId="2" applyFont="1" applyFill="1" applyBorder="1"/>
    <xf numFmtId="0" fontId="5" fillId="0" borderId="1" xfId="0" applyNumberFormat="1" applyFont="1" applyBorder="1" applyAlignment="1">
      <alignment wrapText="1"/>
    </xf>
    <xf numFmtId="169" fontId="2" fillId="0" borderId="21" xfId="6" applyNumberFormat="1" applyFont="1" applyBorder="1" applyAlignment="1">
      <alignment horizontal="center"/>
    </xf>
    <xf numFmtId="169" fontId="2" fillId="0" borderId="22" xfId="6" applyNumberFormat="1" applyFont="1" applyBorder="1" applyAlignment="1">
      <alignment horizontal="center"/>
    </xf>
    <xf numFmtId="169" fontId="29" fillId="0" borderId="19" xfId="6" applyNumberFormat="1" applyFont="1" applyBorder="1" applyAlignment="1">
      <alignment horizontal="center" wrapText="1"/>
    </xf>
    <xf numFmtId="169" fontId="29" fillId="0" borderId="21" xfId="6" applyNumberFormat="1" applyFont="1" applyBorder="1" applyAlignment="1">
      <alignment horizontal="center" wrapText="1"/>
    </xf>
    <xf numFmtId="169" fontId="2" fillId="4" borderId="21" xfId="6" applyNumberFormat="1" applyFont="1" applyFill="1" applyBorder="1" applyAlignment="1">
      <alignment horizontal="center"/>
    </xf>
    <xf numFmtId="0" fontId="2" fillId="4" borderId="21" xfId="6" applyFont="1" applyFill="1" applyBorder="1" applyAlignment="1">
      <alignment horizontal="center"/>
    </xf>
    <xf numFmtId="169" fontId="0" fillId="0" borderId="7" xfId="2" applyNumberFormat="1" applyFont="1" applyFill="1" applyBorder="1" applyAlignment="1">
      <alignment horizontal="center"/>
    </xf>
    <xf numFmtId="164" fontId="53" fillId="0" borderId="0" xfId="6" applyNumberFormat="1" applyFont="1" applyFill="1"/>
    <xf numFmtId="0" fontId="5" fillId="2" borderId="0" xfId="0" applyNumberFormat="1" applyFont="1" applyFill="1" applyBorder="1" applyAlignment="1">
      <alignment horizontal="center"/>
    </xf>
    <xf numFmtId="0" fontId="5" fillId="2" borderId="0" xfId="8" applyNumberFormat="1" applyFont="1" applyFill="1" applyBorder="1" applyAlignment="1">
      <alignment horizontal="center"/>
    </xf>
    <xf numFmtId="167" fontId="5" fillId="2" borderId="0" xfId="0" applyNumberFormat="1" applyFont="1" applyFill="1" applyBorder="1" applyAlignment="1">
      <alignment horizontal="center"/>
    </xf>
    <xf numFmtId="0" fontId="6" fillId="4" borderId="0" xfId="0" applyFont="1" applyFill="1" applyBorder="1" applyAlignment="1">
      <alignment horizontal="left" wrapText="1"/>
    </xf>
    <xf numFmtId="164" fontId="1" fillId="0" borderId="0" xfId="3" applyFont="1" applyFill="1"/>
    <xf numFmtId="0" fontId="5" fillId="14" borderId="0" xfId="0" applyFont="1" applyFill="1" applyBorder="1"/>
    <xf numFmtId="0" fontId="5" fillId="14" borderId="0" xfId="0" applyFont="1" applyFill="1" applyBorder="1" applyAlignment="1">
      <alignment horizontal="center" vertical="top"/>
    </xf>
    <xf numFmtId="0" fontId="46" fillId="14" borderId="0" xfId="0" applyFont="1" applyFill="1" applyBorder="1"/>
    <xf numFmtId="0" fontId="1" fillId="0" borderId="0" xfId="6" applyFont="1"/>
    <xf numFmtId="0" fontId="19" fillId="14" borderId="0" xfId="0" applyFont="1" applyFill="1" applyBorder="1" applyAlignment="1">
      <alignment horizontal="center" vertical="top"/>
    </xf>
    <xf numFmtId="0" fontId="1" fillId="7" borderId="0" xfId="6" applyFont="1" applyFill="1"/>
    <xf numFmtId="0" fontId="57" fillId="5" borderId="0" xfId="0" applyFont="1" applyFill="1" applyBorder="1" applyAlignment="1">
      <alignment horizontal="left" indent="2"/>
    </xf>
    <xf numFmtId="0" fontId="57" fillId="0" borderId="0" xfId="0" applyFont="1" applyBorder="1" applyAlignment="1">
      <alignment horizontal="center" wrapText="1"/>
    </xf>
    <xf numFmtId="0" fontId="2" fillId="17" borderId="0" xfId="6" applyFont="1" applyFill="1"/>
    <xf numFmtId="0" fontId="9" fillId="0" borderId="0" xfId="0" applyFont="1" applyBorder="1"/>
    <xf numFmtId="0" fontId="6" fillId="0" borderId="0" xfId="0" applyFont="1" applyBorder="1" applyAlignment="1">
      <alignment horizontal="center" vertical="top"/>
    </xf>
    <xf numFmtId="0" fontId="66" fillId="0" borderId="0" xfId="0" applyFont="1" applyAlignment="1">
      <alignment horizontal="center"/>
    </xf>
    <xf numFmtId="0" fontId="58" fillId="0" borderId="0" xfId="0" applyFont="1"/>
    <xf numFmtId="0" fontId="66" fillId="0" borderId="0" xfId="0" applyFont="1"/>
    <xf numFmtId="0" fontId="66" fillId="0" borderId="0" xfId="0" applyFont="1" applyAlignment="1">
      <alignment vertical="center"/>
    </xf>
    <xf numFmtId="0" fontId="58" fillId="0" borderId="0" xfId="0" applyFont="1" applyAlignment="1">
      <alignment vertical="center"/>
    </xf>
    <xf numFmtId="0" fontId="58" fillId="0" borderId="0" xfId="0" applyFont="1" applyBorder="1"/>
    <xf numFmtId="0" fontId="59" fillId="0" borderId="0" xfId="0" applyFont="1" applyBorder="1" applyAlignment="1">
      <alignment horizontal="center"/>
    </xf>
    <xf numFmtId="0" fontId="59" fillId="0" borderId="0" xfId="0" applyFont="1" applyBorder="1"/>
    <xf numFmtId="0" fontId="5" fillId="2" borderId="0" xfId="0" applyFont="1" applyFill="1" applyBorder="1" applyAlignment="1">
      <alignment vertical="center" wrapText="1"/>
    </xf>
    <xf numFmtId="0" fontId="5" fillId="0" borderId="0" xfId="0" applyFont="1" applyBorder="1" applyAlignment="1">
      <alignment horizontal="right"/>
    </xf>
    <xf numFmtId="0" fontId="5" fillId="14" borderId="21" xfId="0" applyFont="1" applyFill="1" applyBorder="1" applyAlignment="1">
      <alignment horizontal="center" vertical="center"/>
    </xf>
    <xf numFmtId="0" fontId="5" fillId="14" borderId="0" xfId="5" applyFont="1" applyFill="1" applyBorder="1" applyAlignment="1">
      <alignment horizontal="left" vertical="center"/>
    </xf>
    <xf numFmtId="0" fontId="5" fillId="14" borderId="0" xfId="0" applyNumberFormat="1" applyFont="1" applyFill="1" applyBorder="1" applyAlignment="1">
      <alignment horizontal="center" wrapText="1"/>
    </xf>
    <xf numFmtId="0" fontId="5" fillId="14" borderId="0" xfId="0" applyNumberFormat="1" applyFont="1" applyFill="1" applyBorder="1" applyAlignment="1">
      <alignment horizontal="center"/>
    </xf>
    <xf numFmtId="0" fontId="5" fillId="14" borderId="0" xfId="0" applyFont="1" applyFill="1" applyBorder="1" applyAlignment="1">
      <alignment horizontal="left" indent="1"/>
    </xf>
    <xf numFmtId="0" fontId="5" fillId="14" borderId="1" xfId="0" applyFont="1" applyFill="1" applyBorder="1" applyAlignment="1">
      <alignment wrapText="1"/>
    </xf>
    <xf numFmtId="0" fontId="19" fillId="14" borderId="0" xfId="0" applyFont="1" applyFill="1" applyBorder="1"/>
    <xf numFmtId="0" fontId="19" fillId="14" borderId="0" xfId="0" applyFont="1" applyFill="1"/>
    <xf numFmtId="0" fontId="5" fillId="14" borderId="0" xfId="0" applyFont="1" applyFill="1"/>
    <xf numFmtId="0" fontId="60" fillId="0" borderId="0" xfId="0" applyFont="1" applyBorder="1" applyAlignment="1">
      <alignment horizontal="left" vertical="center"/>
    </xf>
    <xf numFmtId="0" fontId="7" fillId="0" borderId="0" xfId="0" applyNumberFormat="1" applyFont="1" applyBorder="1" applyAlignment="1">
      <alignment horizontal="left" indent="1"/>
    </xf>
    <xf numFmtId="0" fontId="15" fillId="0" borderId="0" xfId="0" applyFont="1" applyBorder="1" applyAlignment="1">
      <alignment horizontal="center" wrapText="1"/>
    </xf>
    <xf numFmtId="0" fontId="48" fillId="0" borderId="0" xfId="0" applyFont="1" applyBorder="1" applyAlignment="1">
      <alignment horizontal="center" vertical="top"/>
    </xf>
    <xf numFmtId="0" fontId="5" fillId="4" borderId="0" xfId="0" applyFont="1" applyFill="1" applyBorder="1" applyAlignment="1">
      <alignment horizontal="left" indent="1"/>
    </xf>
    <xf numFmtId="0" fontId="6" fillId="0" borderId="0" xfId="0" applyFont="1" applyBorder="1" applyAlignment="1">
      <alignment horizontal="centerContinuous"/>
    </xf>
    <xf numFmtId="0" fontId="8" fillId="0" borderId="0" xfId="0" applyNumberFormat="1" applyFont="1" applyBorder="1" applyAlignment="1">
      <alignment horizontal="left" indent="1"/>
    </xf>
    <xf numFmtId="0" fontId="26" fillId="0" borderId="0" xfId="0" applyNumberFormat="1" applyFont="1" applyBorder="1" applyAlignment="1">
      <alignment horizontal="left" indent="1"/>
    </xf>
    <xf numFmtId="0" fontId="5" fillId="0" borderId="0" xfId="0" applyFont="1" applyBorder="1" applyAlignment="1">
      <alignment horizontal="right" vertical="center" wrapText="1" indent="1"/>
    </xf>
    <xf numFmtId="0" fontId="14" fillId="0" borderId="0" xfId="0" applyFont="1" applyBorder="1" applyAlignment="1">
      <alignment horizontal="right" vertical="center" wrapText="1" indent="1"/>
    </xf>
    <xf numFmtId="0" fontId="4" fillId="0" borderId="14" xfId="0" applyFont="1" applyBorder="1" applyAlignment="1">
      <alignment horizontal="center" vertical="center"/>
    </xf>
    <xf numFmtId="0" fontId="7" fillId="0" borderId="15" xfId="0" applyNumberFormat="1" applyFont="1" applyBorder="1" applyAlignment="1">
      <alignment horizontal="left" indent="1"/>
    </xf>
    <xf numFmtId="0" fontId="0" fillId="0" borderId="16" xfId="0" applyBorder="1" applyAlignment="1">
      <alignment wrapText="1"/>
    </xf>
    <xf numFmtId="0" fontId="4" fillId="0" borderId="11" xfId="0" applyFont="1" applyBorder="1" applyAlignment="1">
      <alignment horizontal="center" vertical="center"/>
    </xf>
    <xf numFmtId="0" fontId="0" fillId="0" borderId="17" xfId="0" applyBorder="1" applyAlignment="1">
      <alignment wrapText="1"/>
    </xf>
    <xf numFmtId="0" fontId="4" fillId="0" borderId="17" xfId="0" applyFont="1" applyBorder="1" applyAlignment="1">
      <alignment wrapText="1"/>
    </xf>
    <xf numFmtId="0" fontId="5" fillId="0" borderId="11" xfId="0" applyFont="1" applyBorder="1" applyAlignment="1">
      <alignment horizontal="center" vertical="center"/>
    </xf>
    <xf numFmtId="0" fontId="5" fillId="0" borderId="17" xfId="0" applyFont="1" applyBorder="1" applyAlignment="1">
      <alignment wrapText="1"/>
    </xf>
    <xf numFmtId="0" fontId="60" fillId="0" borderId="17" xfId="0" applyFont="1" applyBorder="1" applyAlignment="1">
      <alignment horizontal="left" vertical="center"/>
    </xf>
    <xf numFmtId="0" fontId="17" fillId="0" borderId="17" xfId="0" applyFont="1" applyBorder="1" applyAlignment="1">
      <alignment horizontal="center" wrapText="1"/>
    </xf>
    <xf numFmtId="0" fontId="17" fillId="0" borderId="17" xfId="0" applyFont="1" applyBorder="1" applyAlignment="1">
      <alignment wrapText="1"/>
    </xf>
    <xf numFmtId="0" fontId="5" fillId="0" borderId="12" xfId="0" applyFont="1" applyBorder="1" applyAlignment="1">
      <alignment horizontal="center" vertical="center"/>
    </xf>
    <xf numFmtId="0" fontId="5" fillId="0" borderId="13" xfId="0" applyFont="1" applyBorder="1" applyAlignment="1">
      <alignment horizontal="left" vertical="center" wrapText="1" indent="1"/>
    </xf>
    <xf numFmtId="0" fontId="5" fillId="2" borderId="13" xfId="0" applyFont="1" applyFill="1" applyBorder="1" applyAlignment="1">
      <alignment horizontal="left" vertical="center" wrapText="1"/>
    </xf>
    <xf numFmtId="0" fontId="26" fillId="0" borderId="13" xfId="0" applyFont="1" applyBorder="1" applyAlignment="1">
      <alignment horizontal="left" indent="1"/>
    </xf>
    <xf numFmtId="0" fontId="17" fillId="0" borderId="18" xfId="0" applyFont="1" applyBorder="1" applyAlignment="1">
      <alignment wrapText="1"/>
    </xf>
    <xf numFmtId="0" fontId="66" fillId="0" borderId="0" xfId="0" applyNumberFormat="1" applyFont="1" applyBorder="1" applyAlignment="1">
      <alignment horizontal="center"/>
    </xf>
    <xf numFmtId="0" fontId="66" fillId="0" borderId="0" xfId="0" applyFont="1" applyBorder="1" applyAlignment="1">
      <alignment horizontal="center"/>
    </xf>
    <xf numFmtId="164" fontId="4" fillId="13" borderId="7" xfId="2" applyFont="1" applyFill="1" applyBorder="1"/>
    <xf numFmtId="0" fontId="2" fillId="0" borderId="0" xfId="6" applyNumberFormat="1" applyFont="1"/>
    <xf numFmtId="0" fontId="2" fillId="19" borderId="7" xfId="6" applyFont="1" applyFill="1" applyBorder="1" applyAlignment="1">
      <alignment horizontal="center"/>
    </xf>
    <xf numFmtId="0" fontId="20" fillId="2" borderId="0" xfId="0" applyFont="1" applyFill="1" applyBorder="1" applyAlignment="1">
      <alignment horizontal="center" wrapText="1"/>
    </xf>
    <xf numFmtId="169" fontId="0" fillId="16" borderId="7" xfId="2" applyNumberFormat="1" applyFont="1" applyFill="1" applyBorder="1" applyAlignment="1">
      <alignment horizontal="center"/>
    </xf>
    <xf numFmtId="0" fontId="67" fillId="0" borderId="0" xfId="0" applyFont="1" applyFill="1" applyBorder="1"/>
    <xf numFmtId="0" fontId="5" fillId="0" borderId="0" xfId="0" applyNumberFormat="1" applyFont="1" applyBorder="1" applyAlignment="1" applyProtection="1">
      <alignment horizontal="left" vertical="center"/>
    </xf>
    <xf numFmtId="0" fontId="4" fillId="0" borderId="0" xfId="0" applyFont="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6" fillId="0" borderId="0" xfId="0" applyFont="1" applyBorder="1" applyAlignment="1">
      <alignment horizontal="right" wrapText="1"/>
    </xf>
    <xf numFmtId="0" fontId="16" fillId="0" borderId="0" xfId="0" applyFont="1" applyBorder="1" applyAlignment="1">
      <alignment horizontal="right" wrapText="1"/>
    </xf>
    <xf numFmtId="0" fontId="5" fillId="0" borderId="0" xfId="0" applyFont="1" applyBorder="1" applyAlignment="1">
      <alignment horizontal="right" wrapText="1"/>
    </xf>
    <xf numFmtId="0" fontId="6" fillId="4" borderId="0" xfId="0" applyFont="1" applyFill="1" applyBorder="1" applyAlignment="1">
      <alignment horizontal="right"/>
    </xf>
    <xf numFmtId="0" fontId="4" fillId="0" borderId="0" xfId="0" applyFont="1" applyFill="1" applyBorder="1" applyAlignment="1">
      <alignment horizontal="right"/>
    </xf>
    <xf numFmtId="0" fontId="5" fillId="2" borderId="0" xfId="0" applyFont="1" applyFill="1" applyBorder="1" applyAlignment="1">
      <alignment horizontal="right" vertical="center" wrapText="1"/>
    </xf>
    <xf numFmtId="0" fontId="5" fillId="2" borderId="13" xfId="0" applyFont="1" applyFill="1" applyBorder="1" applyAlignment="1">
      <alignment horizontal="right" vertical="center" wrapText="1"/>
    </xf>
    <xf numFmtId="0" fontId="5" fillId="0" borderId="0" xfId="0" applyNumberFormat="1" applyFont="1" applyBorder="1" applyAlignment="1">
      <alignment horizontal="right"/>
    </xf>
    <xf numFmtId="0" fontId="6" fillId="0" borderId="6" xfId="0" applyFont="1" applyBorder="1" applyAlignment="1">
      <alignment horizontal="right"/>
    </xf>
    <xf numFmtId="0" fontId="6" fillId="2" borderId="0" xfId="0" applyFont="1" applyFill="1" applyBorder="1" applyAlignment="1">
      <alignment horizontal="right"/>
    </xf>
    <xf numFmtId="0" fontId="5" fillId="3" borderId="0" xfId="0" applyNumberFormat="1" applyFont="1" applyFill="1" applyBorder="1" applyAlignment="1">
      <alignment horizontal="right"/>
    </xf>
    <xf numFmtId="0" fontId="5" fillId="14" borderId="0" xfId="0" applyNumberFormat="1" applyFont="1" applyFill="1" applyBorder="1" applyAlignment="1" applyProtection="1">
      <alignment horizontal="right"/>
    </xf>
    <xf numFmtId="0" fontId="5" fillId="0" borderId="0" xfId="0" applyNumberFormat="1" applyFont="1" applyFill="1" applyBorder="1" applyAlignment="1">
      <alignment horizontal="right"/>
    </xf>
    <xf numFmtId="0" fontId="5" fillId="0" borderId="0" xfId="0" applyFont="1" applyFill="1" applyBorder="1" applyAlignment="1">
      <alignment horizontal="right"/>
    </xf>
    <xf numFmtId="0" fontId="5" fillId="0" borderId="2" xfId="0" applyFont="1" applyBorder="1" applyAlignment="1">
      <alignment horizontal="right" wrapText="1"/>
    </xf>
    <xf numFmtId="0" fontId="4" fillId="0" borderId="2" xfId="0" applyFont="1" applyBorder="1" applyAlignment="1">
      <alignment horizontal="right"/>
    </xf>
    <xf numFmtId="0" fontId="29" fillId="0" borderId="6" xfId="6" applyFont="1" applyBorder="1" applyAlignment="1">
      <alignment horizontal="right"/>
    </xf>
    <xf numFmtId="0" fontId="2" fillId="0" borderId="0" xfId="6" applyFont="1" applyBorder="1" applyAlignment="1">
      <alignment horizontal="right"/>
    </xf>
    <xf numFmtId="0" fontId="2" fillId="4" borderId="0" xfId="6" applyFont="1" applyFill="1" applyBorder="1" applyAlignment="1">
      <alignment horizontal="right"/>
    </xf>
    <xf numFmtId="0" fontId="1" fillId="0" borderId="0" xfId="6" applyFont="1" applyBorder="1" applyAlignment="1">
      <alignment horizontal="right"/>
    </xf>
    <xf numFmtId="0" fontId="2" fillId="0" borderId="0" xfId="6" applyFont="1" applyFill="1" applyBorder="1" applyAlignment="1">
      <alignment horizontal="right"/>
    </xf>
    <xf numFmtId="0" fontId="2" fillId="4" borderId="21" xfId="6" applyFont="1" applyFill="1" applyBorder="1" applyAlignment="1">
      <alignment horizontal="right"/>
    </xf>
    <xf numFmtId="164" fontId="0" fillId="0" borderId="0" xfId="2" applyFont="1" applyFill="1" applyBorder="1" applyAlignment="1">
      <alignment horizontal="right"/>
    </xf>
    <xf numFmtId="0" fontId="2" fillId="0" borderId="2" xfId="6" applyFont="1" applyFill="1" applyBorder="1" applyAlignment="1">
      <alignment horizontal="right"/>
    </xf>
    <xf numFmtId="0" fontId="29" fillId="0" borderId="6" xfId="6" applyFont="1" applyFill="1" applyBorder="1" applyAlignment="1">
      <alignment horizontal="right"/>
    </xf>
    <xf numFmtId="0" fontId="2" fillId="0" borderId="0" xfId="6" applyFont="1" applyAlignment="1">
      <alignment horizontal="right"/>
    </xf>
    <xf numFmtId="164" fontId="2" fillId="6" borderId="0" xfId="6" applyNumberFormat="1" applyFont="1" applyFill="1" applyAlignment="1">
      <alignment horizontal="right"/>
    </xf>
    <xf numFmtId="168" fontId="0" fillId="15" borderId="7" xfId="2" applyNumberFormat="1" applyFont="1" applyFill="1" applyBorder="1" applyAlignment="1">
      <alignment horizontal="center"/>
    </xf>
    <xf numFmtId="0" fontId="5" fillId="0" borderId="0" xfId="0" applyFont="1" applyBorder="1" applyAlignment="1">
      <alignment horizontal="right" vertical="center" wrapText="1"/>
    </xf>
    <xf numFmtId="168" fontId="29" fillId="0" borderId="0" xfId="6" applyNumberFormat="1" applyFont="1" applyAlignment="1">
      <alignment horizontal="center"/>
    </xf>
    <xf numFmtId="168" fontId="1" fillId="0" borderId="0" xfId="6" applyNumberFormat="1" applyFont="1"/>
    <xf numFmtId="168" fontId="2" fillId="0" borderId="0" xfId="6" applyNumberFormat="1" applyFont="1"/>
    <xf numFmtId="168" fontId="2" fillId="8" borderId="7" xfId="6" applyNumberFormat="1" applyFont="1" applyFill="1" applyBorder="1"/>
    <xf numFmtId="168" fontId="2" fillId="0" borderId="0" xfId="6" applyNumberFormat="1" applyFont="1" applyAlignment="1">
      <alignment horizontal="left"/>
    </xf>
    <xf numFmtId="168" fontId="53" fillId="0" borderId="0" xfId="6" applyNumberFormat="1" applyFont="1" applyFill="1"/>
    <xf numFmtId="168" fontId="2" fillId="0" borderId="0" xfId="3" applyNumberFormat="1" applyFont="1" applyFill="1"/>
    <xf numFmtId="168" fontId="1" fillId="0" borderId="0" xfId="3" applyNumberFormat="1" applyFont="1" applyFill="1"/>
    <xf numFmtId="168" fontId="2" fillId="0" borderId="0" xfId="9" applyNumberFormat="1" applyFont="1"/>
    <xf numFmtId="168" fontId="2" fillId="18" borderId="7" xfId="3" applyNumberFormat="1" applyFont="1" applyFill="1" applyBorder="1"/>
    <xf numFmtId="168" fontId="2" fillId="18" borderId="7" xfId="6" applyNumberFormat="1" applyFont="1" applyFill="1" applyBorder="1"/>
    <xf numFmtId="168" fontId="2" fillId="18" borderId="30" xfId="3" applyNumberFormat="1" applyFont="1" applyFill="1" applyBorder="1"/>
    <xf numFmtId="168" fontId="1" fillId="14" borderId="0" xfId="6" applyNumberFormat="1" applyFont="1" applyFill="1" applyBorder="1"/>
    <xf numFmtId="0" fontId="19" fillId="5" borderId="0" xfId="0" applyFont="1" applyFill="1" applyBorder="1" applyAlignment="1">
      <alignment vertical="center" wrapText="1"/>
    </xf>
    <xf numFmtId="0" fontId="19" fillId="0" borderId="0" xfId="0" applyFont="1" applyBorder="1" applyAlignment="1">
      <alignment horizontal="center" vertical="center" wrapText="1"/>
    </xf>
    <xf numFmtId="0" fontId="5" fillId="20" borderId="21" xfId="0" applyFont="1" applyFill="1" applyBorder="1" applyAlignment="1">
      <alignment horizontal="center" vertical="center"/>
    </xf>
    <xf numFmtId="0" fontId="6" fillId="20" borderId="0" xfId="0" applyFont="1" applyFill="1" applyBorder="1"/>
    <xf numFmtId="0" fontId="5" fillId="20" borderId="0" xfId="0" applyFont="1" applyFill="1" applyBorder="1" applyAlignment="1">
      <alignment horizontal="center" vertical="top"/>
    </xf>
    <xf numFmtId="0" fontId="5" fillId="20" borderId="0" xfId="0" applyFont="1" applyFill="1" applyBorder="1" applyAlignment="1">
      <alignment horizontal="center" wrapText="1"/>
    </xf>
    <xf numFmtId="0" fontId="5" fillId="20" borderId="0" xfId="0" applyNumberFormat="1" applyFont="1" applyFill="1" applyBorder="1"/>
    <xf numFmtId="0" fontId="5" fillId="20" borderId="0" xfId="0" applyFont="1" applyFill="1" applyBorder="1"/>
    <xf numFmtId="0" fontId="6" fillId="20" borderId="0" xfId="0" applyNumberFormat="1" applyFont="1" applyFill="1" applyBorder="1" applyAlignment="1">
      <alignment horizontal="left" indent="1"/>
    </xf>
    <xf numFmtId="0" fontId="5" fillId="20" borderId="1" xfId="0" applyFont="1" applyFill="1" applyBorder="1" applyAlignment="1">
      <alignment wrapText="1"/>
    </xf>
    <xf numFmtId="0" fontId="5" fillId="20" borderId="0" xfId="0" applyFont="1" applyFill="1"/>
    <xf numFmtId="0" fontId="4" fillId="20" borderId="0" xfId="0" applyFont="1" applyFill="1"/>
    <xf numFmtId="0" fontId="57" fillId="0" borderId="21" xfId="0" applyFont="1" applyBorder="1" applyAlignment="1">
      <alignment horizontal="center" vertical="center"/>
    </xf>
    <xf numFmtId="0" fontId="57" fillId="0" borderId="0" xfId="0" applyFont="1" applyBorder="1" applyAlignment="1">
      <alignment horizontal="center" vertical="top"/>
    </xf>
    <xf numFmtId="0" fontId="57" fillId="0" borderId="0" xfId="0" applyFont="1" applyBorder="1"/>
    <xf numFmtId="0" fontId="57" fillId="0" borderId="0" xfId="0" applyFont="1" applyBorder="1" applyAlignment="1">
      <alignment horizontal="right" wrapText="1"/>
    </xf>
    <xf numFmtId="0" fontId="5" fillId="0" borderId="0" xfId="0" applyFont="1" applyBorder="1" applyAlignment="1">
      <alignment vertical="top"/>
    </xf>
    <xf numFmtId="0" fontId="57" fillId="5" borderId="0" xfId="0" applyFont="1" applyFill="1" applyBorder="1" applyAlignment="1">
      <alignment vertical="center"/>
    </xf>
    <xf numFmtId="0" fontId="57" fillId="5" borderId="0" xfId="0" applyFont="1" applyFill="1" applyBorder="1" applyAlignment="1">
      <alignment horizontal="center" vertical="center"/>
    </xf>
    <xf numFmtId="0" fontId="57" fillId="0" borderId="0" xfId="0" applyFont="1" applyBorder="1" applyAlignment="1">
      <alignment horizontal="center" vertical="center" wrapText="1"/>
    </xf>
    <xf numFmtId="0" fontId="57" fillId="0" borderId="0" xfId="0" applyNumberFormat="1" applyFont="1" applyBorder="1" applyAlignment="1">
      <alignment vertical="center"/>
    </xf>
    <xf numFmtId="172" fontId="57" fillId="0" borderId="0" xfId="0" applyNumberFormat="1" applyFont="1" applyBorder="1" applyAlignment="1">
      <alignment horizontal="right" vertical="center" wrapText="1"/>
    </xf>
    <xf numFmtId="0" fontId="57" fillId="0" borderId="0" xfId="0" applyFont="1" applyBorder="1" applyAlignment="1">
      <alignment horizontal="center" vertical="center"/>
    </xf>
    <xf numFmtId="0" fontId="6" fillId="0" borderId="0" xfId="0" applyNumberFormat="1" applyFont="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xf>
    <xf numFmtId="0" fontId="57" fillId="0" borderId="0" xfId="0" applyFont="1" applyBorder="1" applyAlignment="1">
      <alignment vertical="center"/>
    </xf>
    <xf numFmtId="0" fontId="57" fillId="0" borderId="0" xfId="0" applyFont="1" applyBorder="1" applyAlignment="1">
      <alignment horizontal="right" vertical="center" wrapText="1"/>
    </xf>
    <xf numFmtId="0" fontId="5" fillId="0" borderId="0"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47" fillId="20" borderId="0" xfId="0" applyFont="1" applyFill="1" applyBorder="1" applyAlignment="1">
      <alignment vertical="center"/>
    </xf>
    <xf numFmtId="0" fontId="6" fillId="20" borderId="0" xfId="0" applyFont="1" applyFill="1" applyBorder="1" applyAlignment="1">
      <alignment horizontal="center" wrapText="1"/>
    </xf>
    <xf numFmtId="165" fontId="6" fillId="20" borderId="0" xfId="0" applyNumberFormat="1" applyFont="1" applyFill="1" applyBorder="1" applyAlignment="1">
      <alignment horizontal="right"/>
    </xf>
    <xf numFmtId="0" fontId="6" fillId="20" borderId="0" xfId="5" applyFont="1" applyFill="1" applyBorder="1"/>
    <xf numFmtId="0" fontId="6" fillId="20" borderId="0" xfId="0" applyFont="1" applyFill="1" applyBorder="1" applyAlignment="1">
      <alignment horizontal="right"/>
    </xf>
    <xf numFmtId="0" fontId="5" fillId="20" borderId="0" xfId="0" applyNumberFormat="1" applyFont="1" applyFill="1" applyBorder="1" applyAlignment="1">
      <alignment horizontal="left" indent="1"/>
    </xf>
    <xf numFmtId="0" fontId="6" fillId="20" borderId="21" xfId="0" applyFont="1" applyFill="1" applyBorder="1" applyAlignment="1">
      <alignment horizontal="center" vertical="center" wrapText="1"/>
    </xf>
    <xf numFmtId="0" fontId="6" fillId="20" borderId="0" xfId="0" applyNumberFormat="1" applyFont="1" applyFill="1" applyBorder="1" applyAlignment="1" applyProtection="1">
      <alignment horizontal="left" indent="1"/>
      <protection locked="0"/>
    </xf>
    <xf numFmtId="0" fontId="6" fillId="20" borderId="0" xfId="0" applyFont="1" applyFill="1" applyBorder="1" applyAlignment="1">
      <alignment horizontal="left"/>
    </xf>
    <xf numFmtId="0" fontId="6" fillId="20" borderId="0" xfId="0" applyFont="1" applyFill="1" applyBorder="1" applyAlignment="1">
      <alignment horizontal="left" indent="1"/>
    </xf>
    <xf numFmtId="0" fontId="0" fillId="20" borderId="0" xfId="0" applyFill="1"/>
    <xf numFmtId="0" fontId="5" fillId="0" borderId="1" xfId="0" applyFont="1" applyFill="1" applyBorder="1" applyAlignment="1">
      <alignment wrapText="1"/>
    </xf>
    <xf numFmtId="0" fontId="68" fillId="0" borderId="2" xfId="0" applyFont="1" applyBorder="1"/>
    <xf numFmtId="0" fontId="69" fillId="0" borderId="2" xfId="0" applyFont="1" applyBorder="1" applyAlignment="1">
      <alignment horizontal="center" vertical="top"/>
    </xf>
    <xf numFmtId="0" fontId="57" fillId="0" borderId="2" xfId="0" applyFont="1" applyBorder="1" applyAlignment="1">
      <alignment horizontal="center" wrapText="1"/>
    </xf>
    <xf numFmtId="0" fontId="69" fillId="0" borderId="2" xfId="0" applyNumberFormat="1" applyFont="1" applyBorder="1"/>
    <xf numFmtId="0" fontId="57" fillId="0" borderId="2" xfId="0" applyNumberFormat="1" applyFont="1" applyBorder="1" applyAlignment="1" applyProtection="1">
      <alignment horizontal="left" vertical="center"/>
    </xf>
    <xf numFmtId="0" fontId="69" fillId="0" borderId="2" xfId="0" applyFont="1" applyBorder="1"/>
    <xf numFmtId="0" fontId="4" fillId="0" borderId="0" xfId="0" applyFont="1" applyBorder="1" applyAlignment="1">
      <alignment vertical="top" wrapText="1"/>
    </xf>
    <xf numFmtId="0" fontId="1" fillId="23" borderId="7" xfId="6" applyFont="1" applyFill="1" applyBorder="1"/>
    <xf numFmtId="0" fontId="1" fillId="23" borderId="7" xfId="6" applyFont="1" applyFill="1" applyBorder="1" applyAlignment="1">
      <alignment wrapText="1"/>
    </xf>
    <xf numFmtId="164" fontId="0" fillId="15" borderId="7" xfId="2" applyNumberFormat="1" applyFont="1" applyFill="1" applyBorder="1" applyAlignment="1">
      <alignment horizontal="center"/>
    </xf>
    <xf numFmtId="164" fontId="0" fillId="22" borderId="7" xfId="2" applyFont="1" applyFill="1" applyBorder="1"/>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0" borderId="0" xfId="0" applyFont="1" applyFill="1" applyBorder="1" applyAlignment="1">
      <alignment vertical="center"/>
    </xf>
    <xf numFmtId="0" fontId="46" fillId="15" borderId="21" xfId="0" applyFont="1" applyFill="1" applyBorder="1" applyAlignment="1">
      <alignment horizontal="center" vertical="center"/>
    </xf>
    <xf numFmtId="0" fontId="5" fillId="0" borderId="13" xfId="0" applyFont="1" applyBorder="1" applyAlignment="1">
      <alignment horizontal="center"/>
    </xf>
    <xf numFmtId="0" fontId="19" fillId="14" borderId="0" xfId="0" applyFont="1" applyFill="1" applyBorder="1" applyAlignment="1">
      <alignment horizontal="center" vertical="center"/>
    </xf>
    <xf numFmtId="0" fontId="29" fillId="0" borderId="19" xfId="6" applyFont="1" applyBorder="1" applyAlignment="1" applyProtection="1">
      <alignment horizontal="center" wrapText="1"/>
      <protection locked="0"/>
    </xf>
    <xf numFmtId="168" fontId="2" fillId="0" borderId="0" xfId="6" applyNumberFormat="1" applyFont="1" applyFill="1"/>
    <xf numFmtId="168" fontId="1" fillId="0" borderId="0" xfId="6" applyNumberFormat="1" applyFont="1" applyFill="1"/>
    <xf numFmtId="168" fontId="70" fillId="8" borderId="7" xfId="6" applyNumberFormat="1" applyFont="1" applyFill="1" applyBorder="1"/>
    <xf numFmtId="0" fontId="30" fillId="0" borderId="0" xfId="6" applyFont="1" applyAlignment="1" applyProtection="1">
      <alignment horizontal="center" wrapText="1"/>
      <protection locked="0"/>
    </xf>
    <xf numFmtId="0" fontId="6" fillId="0" borderId="0" xfId="0" applyFont="1" applyAlignment="1" applyProtection="1">
      <alignment wrapText="1"/>
      <protection locked="0"/>
    </xf>
    <xf numFmtId="0" fontId="5" fillId="0" borderId="0" xfId="0" applyFont="1" applyProtection="1">
      <protection locked="0"/>
    </xf>
    <xf numFmtId="0" fontId="5" fillId="0" borderId="0" xfId="0" applyFont="1" applyAlignment="1" applyProtection="1">
      <alignment horizontal="center" wrapText="1"/>
      <protection locked="0"/>
    </xf>
    <xf numFmtId="0" fontId="7" fillId="0" borderId="0" xfId="0" applyNumberFormat="1" applyFont="1" applyBorder="1" applyAlignment="1" applyProtection="1">
      <alignment horizontal="center"/>
      <protection locked="0"/>
    </xf>
    <xf numFmtId="0" fontId="0" fillId="0" borderId="0" xfId="0" applyBorder="1" applyProtection="1">
      <protection locked="0"/>
    </xf>
    <xf numFmtId="0" fontId="18" fillId="0" borderId="0" xfId="0" applyFont="1" applyBorder="1" applyProtection="1">
      <protection locked="0"/>
    </xf>
    <xf numFmtId="0" fontId="5" fillId="0" borderId="0" xfId="0" applyFont="1" applyAlignment="1" applyProtection="1">
      <alignment wrapText="1"/>
      <protection locked="0"/>
    </xf>
    <xf numFmtId="0" fontId="5" fillId="0" borderId="0" xfId="0" applyFont="1" applyAlignment="1" applyProtection="1">
      <alignment horizontal="center"/>
      <protection locked="0"/>
    </xf>
    <xf numFmtId="0" fontId="7" fillId="0" borderId="0" xfId="0" applyNumberFormat="1" applyFont="1" applyAlignment="1" applyProtection="1">
      <alignment horizontal="center"/>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protection locked="0"/>
    </xf>
    <xf numFmtId="0" fontId="4" fillId="0" borderId="0" xfId="0" applyFont="1" applyAlignment="1" applyProtection="1">
      <alignment horizontal="center" wrapText="1"/>
      <protection locked="0"/>
    </xf>
    <xf numFmtId="0" fontId="4" fillId="0" borderId="0" xfId="0" quotePrefix="1" applyFont="1" applyAlignment="1" applyProtection="1">
      <alignment horizontal="center"/>
      <protection locked="0"/>
    </xf>
    <xf numFmtId="0" fontId="10" fillId="0" borderId="0" xfId="0" applyFont="1" applyFill="1" applyBorder="1" applyAlignment="1" applyProtection="1">
      <alignment horizontal="justify"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12" fillId="0" borderId="0" xfId="0" applyFont="1" applyFill="1" applyBorder="1" applyAlignment="1" applyProtection="1">
      <alignment horizontal="justify"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wrapText="1"/>
      <protection locked="0"/>
    </xf>
    <xf numFmtId="0" fontId="9" fillId="0" borderId="9" xfId="0" applyFont="1" applyFill="1" applyBorder="1" applyAlignment="1" applyProtection="1">
      <alignment horizontal="center" wrapText="1"/>
      <protection locked="0"/>
    </xf>
    <xf numFmtId="0" fontId="9" fillId="0" borderId="7" xfId="0" applyFont="1" applyFill="1" applyBorder="1" applyAlignment="1" applyProtection="1">
      <alignment horizontal="center" vertical="center" wrapText="1"/>
      <protection locked="0"/>
    </xf>
    <xf numFmtId="0" fontId="4" fillId="0" borderId="0" xfId="0" applyNumberFormat="1" applyFont="1" applyProtection="1">
      <protection locked="0"/>
    </xf>
    <xf numFmtId="0" fontId="9" fillId="0" borderId="8"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7"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NumberFormat="1" applyProtection="1">
      <protection locked="0"/>
    </xf>
    <xf numFmtId="0" fontId="8" fillId="2" borderId="8"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8"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0" borderId="0" xfId="0" applyFont="1" applyProtection="1">
      <protection locked="0"/>
    </xf>
    <xf numFmtId="171" fontId="0" fillId="0" borderId="0" xfId="0" applyNumberFormat="1" applyProtection="1">
      <protection locked="0"/>
    </xf>
    <xf numFmtId="0" fontId="0" fillId="0" borderId="0" xfId="0" applyAlignment="1" applyProtection="1">
      <alignment horizontal="left" wrapText="1"/>
      <protection locked="0"/>
    </xf>
    <xf numFmtId="0" fontId="5" fillId="0" borderId="0" xfId="0" applyFont="1" applyBorder="1" applyAlignment="1" applyProtection="1">
      <alignment horizontal="center" wrapText="1"/>
      <protection locked="0"/>
    </xf>
    <xf numFmtId="0" fontId="5" fillId="0" borderId="0" xfId="0" applyFont="1" applyBorder="1" applyAlignment="1" applyProtection="1">
      <alignment horizontal="centerContinuous"/>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4" fillId="0" borderId="0" xfId="0" applyFont="1" applyAlignment="1">
      <alignment vertical="center" wrapText="1"/>
    </xf>
    <xf numFmtId="0" fontId="4" fillId="0" borderId="0" xfId="0" applyFont="1" applyBorder="1" applyAlignment="1">
      <alignment horizontal="left" vertical="center"/>
    </xf>
    <xf numFmtId="0" fontId="2" fillId="24" borderId="0" xfId="6" applyFont="1" applyFill="1"/>
    <xf numFmtId="0" fontId="1" fillId="24" borderId="0" xfId="6" applyFont="1" applyFill="1"/>
    <xf numFmtId="0" fontId="2" fillId="14" borderId="0" xfId="6" applyFont="1" applyFill="1" applyAlignment="1">
      <alignment horizontal="center"/>
    </xf>
    <xf numFmtId="0" fontId="1" fillId="14" borderId="0" xfId="6" applyFont="1" applyFill="1" applyAlignment="1">
      <alignment horizontal="center"/>
    </xf>
    <xf numFmtId="164" fontId="0" fillId="22" borderId="7" xfId="2" applyNumberFormat="1" applyFont="1" applyFill="1" applyBorder="1"/>
    <xf numFmtId="164" fontId="0" fillId="22" borderId="7" xfId="2" applyNumberFormat="1" applyFont="1" applyFill="1" applyBorder="1" applyAlignment="1">
      <alignment horizontal="right"/>
    </xf>
    <xf numFmtId="168" fontId="1" fillId="0" borderId="0" xfId="6" applyNumberFormat="1" applyFont="1" applyAlignment="1">
      <alignment wrapText="1"/>
    </xf>
    <xf numFmtId="164" fontId="0" fillId="14" borderId="7" xfId="2" applyFont="1" applyFill="1" applyBorder="1" applyAlignment="1">
      <alignment horizontal="right"/>
    </xf>
    <xf numFmtId="0" fontId="2" fillId="14" borderId="0" xfId="6" applyFont="1" applyFill="1" applyBorder="1"/>
    <xf numFmtId="0" fontId="0" fillId="14" borderId="7" xfId="2" applyNumberFormat="1" applyFont="1" applyFill="1" applyBorder="1" applyAlignment="1">
      <alignment horizontal="right"/>
    </xf>
    <xf numFmtId="164" fontId="0" fillId="14" borderId="7" xfId="2" applyFont="1" applyFill="1" applyBorder="1"/>
    <xf numFmtId="164" fontId="0" fillId="14" borderId="0" xfId="2" applyFont="1" applyFill="1" applyBorder="1" applyAlignment="1">
      <alignment horizontal="right"/>
    </xf>
    <xf numFmtId="164" fontId="0" fillId="14" borderId="0" xfId="2" applyFont="1" applyFill="1" applyBorder="1"/>
    <xf numFmtId="173" fontId="0" fillId="14" borderId="7" xfId="2" applyNumberFormat="1" applyFont="1" applyFill="1" applyBorder="1"/>
    <xf numFmtId="173" fontId="0" fillId="14" borderId="7" xfId="2" applyNumberFormat="1" applyFont="1" applyFill="1" applyBorder="1" applyAlignment="1">
      <alignment horizontal="right"/>
    </xf>
    <xf numFmtId="169" fontId="0" fillId="14" borderId="7" xfId="2" applyNumberFormat="1" applyFont="1" applyFill="1" applyBorder="1"/>
    <xf numFmtId="169" fontId="0" fillId="14" borderId="7" xfId="2" applyNumberFormat="1" applyFont="1" applyFill="1" applyBorder="1" applyAlignment="1">
      <alignment horizontal="right"/>
    </xf>
    <xf numFmtId="168" fontId="0" fillId="14" borderId="7" xfId="2" applyNumberFormat="1" applyFont="1" applyFill="1" applyBorder="1" applyAlignment="1">
      <alignment horizontal="right"/>
    </xf>
    <xf numFmtId="0" fontId="2" fillId="14" borderId="0" xfId="6" applyFont="1" applyFill="1" applyBorder="1" applyAlignment="1">
      <alignment horizontal="right"/>
    </xf>
    <xf numFmtId="0" fontId="29" fillId="0" borderId="20" xfId="6" applyFont="1" applyBorder="1" applyAlignment="1">
      <alignment horizontal="center"/>
    </xf>
    <xf numFmtId="0" fontId="1" fillId="0" borderId="1" xfId="6" applyFont="1" applyBorder="1"/>
    <xf numFmtId="0" fontId="2" fillId="0" borderId="1" xfId="6" applyNumberFormat="1" applyFont="1" applyBorder="1"/>
    <xf numFmtId="0" fontId="2" fillId="0" borderId="3" xfId="6" applyFont="1" applyBorder="1"/>
    <xf numFmtId="0" fontId="2" fillId="4" borderId="1" xfId="6" applyFont="1" applyFill="1" applyBorder="1"/>
    <xf numFmtId="0" fontId="44" fillId="0" borderId="1" xfId="6" applyFont="1" applyBorder="1"/>
    <xf numFmtId="0" fontId="2" fillId="0" borderId="1" xfId="6" applyFont="1" applyBorder="1" applyAlignment="1">
      <alignment vertical="top"/>
    </xf>
    <xf numFmtId="0" fontId="2" fillId="0" borderId="1" xfId="6" applyNumberFormat="1" applyFont="1" applyBorder="1"/>
    <xf numFmtId="0" fontId="29" fillId="0" borderId="20" xfId="6" applyFont="1" applyBorder="1" applyAlignment="1" applyProtection="1">
      <alignment horizontal="center"/>
      <protection locked="0"/>
    </xf>
    <xf numFmtId="0" fontId="1" fillId="0" borderId="0" xfId="6" applyFont="1" applyBorder="1" applyAlignment="1">
      <alignment wrapText="1"/>
    </xf>
    <xf numFmtId="164" fontId="0" fillId="14" borderId="7" xfId="2" applyNumberFormat="1" applyFont="1" applyFill="1" applyBorder="1" applyAlignment="1">
      <alignment horizontal="right"/>
    </xf>
    <xf numFmtId="164" fontId="2" fillId="0" borderId="2" xfId="6" applyNumberFormat="1" applyFont="1" applyBorder="1" applyAlignment="1">
      <alignment horizontal="right"/>
    </xf>
    <xf numFmtId="164" fontId="0" fillId="14" borderId="7" xfId="2" applyNumberFormat="1" applyFont="1" applyFill="1" applyBorder="1" applyAlignment="1" applyProtection="1">
      <alignment horizontal="right"/>
      <protection locked="0"/>
    </xf>
    <xf numFmtId="0" fontId="5" fillId="15" borderId="0" xfId="0" applyFont="1" applyFill="1" applyBorder="1" applyAlignment="1">
      <alignment horizontal="center" vertical="top"/>
    </xf>
    <xf numFmtId="0" fontId="4" fillId="0" borderId="21" xfId="0" applyFont="1" applyBorder="1" applyAlignment="1">
      <alignment horizontal="center" vertical="center"/>
    </xf>
    <xf numFmtId="0" fontId="0" fillId="0" borderId="1" xfId="0" applyFill="1" applyBorder="1" applyAlignment="1">
      <alignment wrapText="1"/>
    </xf>
    <xf numFmtId="0" fontId="0" fillId="0" borderId="1" xfId="0" applyBorder="1" applyAlignment="1">
      <alignment wrapText="1"/>
    </xf>
    <xf numFmtId="0" fontId="5" fillId="2" borderId="2" xfId="0" applyFont="1" applyFill="1" applyBorder="1" applyAlignment="1">
      <alignment horizontal="center" vertical="top"/>
    </xf>
    <xf numFmtId="0" fontId="5" fillId="0" borderId="2" xfId="0" applyNumberFormat="1" applyFont="1" applyBorder="1" applyAlignment="1">
      <alignment horizontal="right" wrapText="1"/>
    </xf>
    <xf numFmtId="0" fontId="5" fillId="0" borderId="2" xfId="0" applyNumberFormat="1" applyFont="1" applyBorder="1" applyAlignment="1">
      <alignment horizontal="center" wrapText="1"/>
    </xf>
    <xf numFmtId="0" fontId="28" fillId="0" borderId="2" xfId="0" applyNumberFormat="1" applyFont="1" applyBorder="1" applyAlignment="1" applyProtection="1">
      <alignment horizontal="left"/>
    </xf>
    <xf numFmtId="172" fontId="14" fillId="3" borderId="7" xfId="0" applyNumberFormat="1" applyFont="1" applyFill="1" applyBorder="1" applyAlignment="1" applyProtection="1">
      <alignment horizontal="center" vertical="top"/>
      <protection locked="0"/>
    </xf>
    <xf numFmtId="0" fontId="58" fillId="22" borderId="7" xfId="0" applyFont="1" applyFill="1" applyBorder="1" applyAlignment="1" applyProtection="1">
      <alignment horizontal="center" vertical="top"/>
      <protection locked="0"/>
    </xf>
    <xf numFmtId="0" fontId="5" fillId="21" borderId="7" xfId="0" applyFont="1" applyFill="1" applyBorder="1" applyAlignment="1" applyProtection="1">
      <alignment wrapText="1"/>
      <protection locked="0"/>
    </xf>
    <xf numFmtId="0" fontId="0" fillId="21" borderId="7" xfId="0" applyFill="1" applyBorder="1" applyAlignment="1" applyProtection="1">
      <alignment wrapText="1"/>
      <protection locked="0"/>
    </xf>
    <xf numFmtId="0" fontId="5" fillId="21" borderId="7" xfId="0" applyFont="1" applyFill="1" applyBorder="1" applyAlignment="1" applyProtection="1">
      <alignment vertical="center" wrapText="1"/>
      <protection locked="0"/>
    </xf>
    <xf numFmtId="0" fontId="23" fillId="21" borderId="7" xfId="0" applyFont="1" applyFill="1" applyBorder="1" applyAlignment="1" applyProtection="1">
      <alignment wrapText="1"/>
      <protection locked="0"/>
    </xf>
    <xf numFmtId="0" fontId="5" fillId="21" borderId="7" xfId="0" applyFont="1" applyFill="1" applyBorder="1" applyAlignment="1" applyProtection="1">
      <alignment vertical="top" wrapText="1"/>
      <protection locked="0"/>
    </xf>
    <xf numFmtId="0" fontId="5" fillId="0" borderId="21" xfId="0" applyFont="1" applyFill="1" applyBorder="1" applyAlignment="1">
      <alignment horizontal="center" vertical="center"/>
    </xf>
    <xf numFmtId="0" fontId="23" fillId="0" borderId="21" xfId="0" applyFont="1" applyFill="1" applyBorder="1" applyAlignment="1">
      <alignment horizontal="center" vertical="center"/>
    </xf>
    <xf numFmtId="0" fontId="5" fillId="0" borderId="0" xfId="0" applyFont="1" applyAlignment="1" applyProtection="1">
      <alignment horizontal="center" vertical="center"/>
      <protection locked="0"/>
    </xf>
    <xf numFmtId="0" fontId="5" fillId="25" borderId="0" xfId="0" applyFont="1" applyFill="1" applyBorder="1" applyAlignment="1">
      <alignment horizontal="center" vertical="top"/>
    </xf>
    <xf numFmtId="0" fontId="5" fillId="0" borderId="0" xfId="0" applyFont="1" applyBorder="1" applyProtection="1"/>
    <xf numFmtId="0" fontId="4" fillId="0" borderId="0" xfId="0" applyFont="1" applyBorder="1" applyAlignment="1">
      <alignment horizontal="right" vertical="center"/>
    </xf>
    <xf numFmtId="0" fontId="4" fillId="0" borderId="0" xfId="0" applyFont="1" applyBorder="1" applyAlignment="1">
      <alignment vertical="center"/>
    </xf>
    <xf numFmtId="166" fontId="5" fillId="0" borderId="0" xfId="0" applyNumberFormat="1" applyFont="1" applyFill="1" applyBorder="1" applyAlignment="1">
      <alignment horizontal="center" vertical="center"/>
    </xf>
    <xf numFmtId="0" fontId="7"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6" fillId="0" borderId="0" xfId="0" applyNumberFormat="1" applyFont="1" applyBorder="1" applyAlignment="1">
      <alignment horizontal="left" vertical="center"/>
    </xf>
    <xf numFmtId="0" fontId="5" fillId="0" borderId="0" xfId="0" applyNumberFormat="1" applyFont="1" applyBorder="1" applyAlignment="1">
      <alignment vertical="center"/>
    </xf>
    <xf numFmtId="0" fontId="23" fillId="0" borderId="0" xfId="0" applyFont="1" applyBorder="1" applyAlignment="1">
      <alignment vertical="center"/>
    </xf>
    <xf numFmtId="0" fontId="23" fillId="0" borderId="0" xfId="0" applyNumberFormat="1" applyFont="1" applyBorder="1" applyAlignment="1">
      <alignment horizontal="left" vertical="center"/>
    </xf>
    <xf numFmtId="170" fontId="6" fillId="0" borderId="0" xfId="0" applyNumberFormat="1" applyFont="1" applyBorder="1" applyAlignment="1">
      <alignment horizontal="left" vertical="center"/>
    </xf>
    <xf numFmtId="172" fontId="5" fillId="0" borderId="0" xfId="0" applyNumberFormat="1" applyFont="1" applyBorder="1" applyAlignment="1">
      <alignment horizontal="right" vertical="center" wrapText="1"/>
    </xf>
    <xf numFmtId="0" fontId="5" fillId="2" borderId="0" xfId="0" applyNumberFormat="1" applyFont="1" applyFill="1" applyBorder="1" applyAlignment="1">
      <alignment vertical="center"/>
    </xf>
    <xf numFmtId="0" fontId="5" fillId="2" borderId="0" xfId="5" applyFont="1" applyFill="1" applyBorder="1" applyAlignment="1">
      <alignment vertical="center"/>
    </xf>
    <xf numFmtId="0" fontId="5" fillId="0" borderId="0" xfId="0" applyNumberFormat="1" applyFont="1" applyFill="1" applyBorder="1" applyAlignment="1">
      <alignment horizontal="left" vertical="center"/>
    </xf>
    <xf numFmtId="0" fontId="6" fillId="0" borderId="0" xfId="0" applyNumberFormat="1" applyFont="1" applyBorder="1" applyAlignment="1">
      <alignment horizontal="left" vertical="center"/>
    </xf>
    <xf numFmtId="0" fontId="5" fillId="22" borderId="0" xfId="0" applyFont="1" applyFill="1" applyBorder="1" applyAlignment="1" applyProtection="1">
      <alignment horizontal="left" vertical="center" wrapText="1"/>
      <protection locked="0"/>
    </xf>
    <xf numFmtId="0" fontId="5" fillId="0" borderId="0" xfId="0" applyNumberFormat="1" applyFont="1" applyBorder="1" applyAlignment="1" applyProtection="1">
      <alignment horizontal="left" vertical="center"/>
    </xf>
    <xf numFmtId="0" fontId="6" fillId="0" borderId="0" xfId="0" applyNumberFormat="1" applyFont="1" applyBorder="1" applyAlignment="1" applyProtection="1">
      <alignment horizontal="left" vertical="center"/>
    </xf>
    <xf numFmtId="0" fontId="5" fillId="0" borderId="0" xfId="0" applyFont="1" applyBorder="1" applyAlignment="1">
      <alignment horizontal="left" vertical="center"/>
    </xf>
    <xf numFmtId="165" fontId="6" fillId="0" borderId="0" xfId="0" applyNumberFormat="1" applyFont="1" applyBorder="1" applyAlignment="1" applyProtection="1">
      <alignment horizontal="left" vertical="center"/>
      <protection locked="0"/>
    </xf>
    <xf numFmtId="0" fontId="5" fillId="0" borderId="0" xfId="0" applyNumberFormat="1" applyFont="1" applyBorder="1" applyAlignment="1">
      <alignment horizontal="right" vertical="center" wrapText="1"/>
    </xf>
    <xf numFmtId="0" fontId="5" fillId="0" borderId="0" xfId="0" applyNumberFormat="1" applyFont="1" applyBorder="1" applyAlignment="1">
      <alignment horizontal="center" vertical="center" wrapText="1"/>
    </xf>
    <xf numFmtId="0" fontId="28" fillId="0" borderId="0" xfId="0" applyNumberFormat="1" applyFont="1" applyBorder="1" applyAlignment="1" applyProtection="1">
      <alignment horizontal="left" vertical="center"/>
    </xf>
    <xf numFmtId="0" fontId="5" fillId="0" borderId="0" xfId="0" applyNumberFormat="1" applyFont="1" applyBorder="1" applyAlignment="1" applyProtection="1">
      <alignment horizontal="left" vertical="center"/>
      <protection locked="0"/>
    </xf>
    <xf numFmtId="166" fontId="5" fillId="0" borderId="6" xfId="0" applyNumberFormat="1" applyFont="1" applyBorder="1" applyAlignment="1">
      <alignment horizontal="right" vertical="center"/>
    </xf>
    <xf numFmtId="166" fontId="5" fillId="0" borderId="6" xfId="0" applyNumberFormat="1" applyFont="1" applyFill="1" applyBorder="1" applyAlignment="1">
      <alignment horizontal="center" vertical="center"/>
    </xf>
    <xf numFmtId="166" fontId="5" fillId="0" borderId="6" xfId="0" applyNumberFormat="1" applyFont="1" applyBorder="1" applyAlignment="1">
      <alignment horizontal="center" vertical="center"/>
    </xf>
    <xf numFmtId="0" fontId="28" fillId="0" borderId="0" xfId="0" applyNumberFormat="1" applyFont="1" applyBorder="1" applyAlignment="1">
      <alignment horizontal="right" vertical="center"/>
    </xf>
    <xf numFmtId="0" fontId="28" fillId="0" borderId="0" xfId="0" applyNumberFormat="1" applyFont="1" applyBorder="1" applyAlignment="1">
      <alignment horizontal="center" vertical="center"/>
    </xf>
    <xf numFmtId="0" fontId="5" fillId="0" borderId="0" xfId="0" applyFont="1" applyBorder="1" applyAlignment="1" applyProtection="1">
      <alignment horizontal="right" vertical="center" wrapText="1"/>
      <protection locked="0"/>
    </xf>
    <xf numFmtId="0" fontId="5" fillId="0" borderId="0" xfId="0" applyFont="1" applyBorder="1" applyAlignment="1" applyProtection="1">
      <alignment horizontal="center" vertical="center" wrapText="1"/>
      <protection locked="0"/>
    </xf>
    <xf numFmtId="0" fontId="5" fillId="21" borderId="7" xfId="0" applyFont="1" applyFill="1" applyBorder="1" applyAlignment="1" applyProtection="1">
      <alignment horizontal="left" wrapText="1"/>
      <protection locked="0"/>
    </xf>
    <xf numFmtId="0" fontId="5" fillId="20" borderId="0" xfId="0" applyFont="1" applyFill="1" applyBorder="1" applyAlignment="1">
      <alignment horizontal="left" vertical="top"/>
    </xf>
    <xf numFmtId="0" fontId="65" fillId="20" borderId="0" xfId="0" applyFont="1" applyFill="1" applyBorder="1" applyAlignment="1">
      <alignment horizontal="center"/>
    </xf>
    <xf numFmtId="0" fontId="39" fillId="26" borderId="28" xfId="0" applyFont="1" applyFill="1" applyBorder="1" applyAlignment="1">
      <alignment horizontal="center" vertical="center"/>
    </xf>
    <xf numFmtId="174" fontId="2" fillId="22" borderId="7" xfId="6" applyNumberFormat="1" applyFont="1" applyFill="1" applyBorder="1" applyAlignment="1" applyProtection="1">
      <alignment horizontal="center"/>
      <protection locked="0"/>
    </xf>
    <xf numFmtId="0" fontId="2" fillId="15" borderId="1" xfId="6" applyFont="1" applyFill="1" applyBorder="1"/>
    <xf numFmtId="0" fontId="44" fillId="15" borderId="1" xfId="6" applyFont="1" applyFill="1" applyBorder="1"/>
    <xf numFmtId="173" fontId="2" fillId="14" borderId="7" xfId="6" applyNumberFormat="1" applyFont="1" applyFill="1" applyBorder="1"/>
    <xf numFmtId="0" fontId="5" fillId="3" borderId="7" xfId="0" applyNumberFormat="1" applyFont="1" applyFill="1" applyBorder="1" applyAlignment="1" applyProtection="1">
      <alignment horizontal="center" vertical="center"/>
      <protection locked="0"/>
    </xf>
    <xf numFmtId="0" fontId="5" fillId="3" borderId="7" xfId="0" applyNumberFormat="1" applyFont="1" applyFill="1" applyBorder="1" applyAlignment="1" applyProtection="1">
      <alignment horizontal="center"/>
      <protection locked="0"/>
    </xf>
    <xf numFmtId="165" fontId="5" fillId="3" borderId="7" xfId="0" applyNumberFormat="1" applyFont="1" applyFill="1" applyBorder="1" applyAlignment="1" applyProtection="1">
      <alignment horizontal="center" vertical="center"/>
      <protection locked="0"/>
    </xf>
    <xf numFmtId="0" fontId="5" fillId="21" borderId="7" xfId="0" applyFont="1" applyFill="1" applyBorder="1" applyAlignment="1" applyProtection="1">
      <alignment vertical="center"/>
      <protection locked="0"/>
    </xf>
    <xf numFmtId="0" fontId="5" fillId="0" borderId="1" xfId="0" applyFont="1" applyBorder="1" applyAlignment="1" applyProtection="1">
      <alignment wrapText="1"/>
      <protection locked="0"/>
    </xf>
    <xf numFmtId="0" fontId="5" fillId="22" borderId="7" xfId="0" applyFont="1" applyFill="1" applyBorder="1" applyAlignment="1" applyProtection="1">
      <alignment horizontal="center" vertical="center"/>
      <protection locked="0"/>
    </xf>
    <xf numFmtId="0" fontId="5" fillId="22" borderId="7" xfId="0" applyNumberFormat="1" applyFont="1" applyFill="1" applyBorder="1" applyAlignment="1" applyProtection="1">
      <alignment horizontal="left"/>
      <protection locked="0"/>
    </xf>
    <xf numFmtId="166" fontId="5" fillId="0" borderId="0" xfId="0" applyNumberFormat="1"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1" fillId="20" borderId="0" xfId="6" applyFont="1" applyFill="1"/>
    <xf numFmtId="0" fontId="1" fillId="20" borderId="0" xfId="6" applyNumberFormat="1" applyFont="1" applyFill="1"/>
    <xf numFmtId="0" fontId="74" fillId="20" borderId="0" xfId="6" applyFont="1" applyFill="1" applyBorder="1"/>
    <xf numFmtId="164" fontId="0" fillId="20" borderId="0" xfId="3" applyFont="1" applyFill="1"/>
    <xf numFmtId="0" fontId="2" fillId="27" borderId="1" xfId="6" applyFont="1" applyFill="1" applyBorder="1"/>
    <xf numFmtId="0" fontId="1" fillId="27" borderId="1" xfId="6" applyFont="1" applyFill="1" applyBorder="1"/>
    <xf numFmtId="0" fontId="44" fillId="27" borderId="1" xfId="6" applyFont="1" applyFill="1" applyBorder="1"/>
    <xf numFmtId="0" fontId="44" fillId="14" borderId="1" xfId="6" applyFont="1" applyFill="1" applyBorder="1"/>
    <xf numFmtId="168" fontId="2" fillId="27" borderId="7" xfId="3" applyNumberFormat="1" applyFont="1" applyFill="1" applyBorder="1"/>
    <xf numFmtId="168" fontId="2" fillId="27" borderId="7" xfId="6" applyNumberFormat="1" applyFont="1" applyFill="1" applyBorder="1"/>
    <xf numFmtId="0" fontId="2" fillId="27" borderId="7" xfId="6" applyNumberFormat="1" applyFont="1" applyFill="1" applyBorder="1"/>
    <xf numFmtId="0" fontId="0" fillId="27" borderId="7" xfId="2" applyNumberFormat="1" applyFont="1" applyFill="1" applyBorder="1" applyAlignment="1">
      <alignment horizontal="right"/>
    </xf>
    <xf numFmtId="164" fontId="0" fillId="14" borderId="7" xfId="2" applyNumberFormat="1" applyFont="1" applyFill="1" applyBorder="1"/>
    <xf numFmtId="0" fontId="5" fillId="3" borderId="7" xfId="0" applyNumberFormat="1" applyFont="1" applyFill="1" applyBorder="1" applyAlignment="1" applyProtection="1">
      <alignment horizontal="right" vertical="center"/>
      <protection locked="0"/>
    </xf>
    <xf numFmtId="0" fontId="5" fillId="3" borderId="7" xfId="0" applyNumberFormat="1" applyFont="1" applyFill="1" applyBorder="1" applyAlignment="1" applyProtection="1">
      <alignment horizontal="center" vertical="center"/>
      <protection locked="0"/>
    </xf>
    <xf numFmtId="0" fontId="5" fillId="3" borderId="7" xfId="0" applyNumberFormat="1" applyFont="1" applyFill="1" applyBorder="1" applyAlignment="1" applyProtection="1">
      <alignment horizontal="right" vertical="center"/>
      <protection locked="0"/>
    </xf>
    <xf numFmtId="166" fontId="5" fillId="3" borderId="7" xfId="0" applyNumberFormat="1" applyFont="1" applyFill="1" applyBorder="1" applyAlignment="1" applyProtection="1">
      <alignment horizontal="right" vertical="center"/>
      <protection locked="0"/>
    </xf>
    <xf numFmtId="0" fontId="57" fillId="3" borderId="7" xfId="0" applyNumberFormat="1" applyFont="1" applyFill="1" applyBorder="1" applyAlignment="1" applyProtection="1">
      <alignment horizontal="center" vertical="center"/>
      <protection locked="0"/>
    </xf>
    <xf numFmtId="0" fontId="5" fillId="3" borderId="7" xfId="0" applyNumberFormat="1" applyFont="1" applyFill="1" applyBorder="1" applyAlignment="1" applyProtection="1">
      <alignment horizontal="center" vertical="center"/>
      <protection locked="0"/>
    </xf>
    <xf numFmtId="0" fontId="57" fillId="3" borderId="7" xfId="0" applyNumberFormat="1" applyFont="1" applyFill="1" applyBorder="1" applyAlignment="1" applyProtection="1">
      <alignment horizontal="center" vertical="center"/>
      <protection locked="0"/>
    </xf>
    <xf numFmtId="0" fontId="5" fillId="22" borderId="7" xfId="0" applyFont="1" applyFill="1" applyBorder="1" applyAlignment="1" applyProtection="1">
      <alignment horizontal="left" vertical="center"/>
      <protection locked="0"/>
    </xf>
    <xf numFmtId="0" fontId="5" fillId="21" borderId="7" xfId="0" applyFont="1" applyFill="1" applyBorder="1" applyAlignment="1" applyProtection="1">
      <alignment horizontal="center" vertical="center" wrapText="1"/>
      <protection locked="0"/>
    </xf>
    <xf numFmtId="0" fontId="57" fillId="3" borderId="7"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65" fontId="5" fillId="21" borderId="7" xfId="0" applyNumberFormat="1" applyFont="1" applyFill="1" applyBorder="1" applyAlignment="1" applyProtection="1">
      <alignment horizontal="center" vertical="center"/>
      <protection locked="0"/>
    </xf>
    <xf numFmtId="0" fontId="5" fillId="3" borderId="7" xfId="0" applyNumberFormat="1" applyFont="1" applyFill="1" applyBorder="1" applyAlignment="1" applyProtection="1">
      <alignment horizontal="left" wrapText="1"/>
      <protection locked="0"/>
    </xf>
    <xf numFmtId="0" fontId="5" fillId="3" borderId="7" xfId="0" applyNumberFormat="1" applyFont="1" applyFill="1" applyBorder="1" applyAlignment="1" applyProtection="1">
      <alignment horizontal="center" vertical="center"/>
      <protection locked="0"/>
    </xf>
    <xf numFmtId="165" fontId="5" fillId="3" borderId="7"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vertical="center"/>
      <protection locked="0"/>
    </xf>
    <xf numFmtId="0" fontId="5" fillId="22" borderId="7" xfId="0" applyFont="1" applyFill="1" applyBorder="1" applyAlignment="1" applyProtection="1">
      <alignment horizontal="center" wrapText="1"/>
      <protection locked="0"/>
    </xf>
    <xf numFmtId="0" fontId="5" fillId="21" borderId="7" xfId="0" applyNumberFormat="1" applyFont="1" applyFill="1" applyBorder="1" applyAlignment="1" applyProtection="1">
      <alignment horizontal="center"/>
      <protection locked="0"/>
    </xf>
    <xf numFmtId="0" fontId="4" fillId="0" borderId="0" xfId="11"/>
    <xf numFmtId="170" fontId="4" fillId="0" borderId="0" xfId="11" applyNumberFormat="1"/>
    <xf numFmtId="0" fontId="4" fillId="0" borderId="0" xfId="11" applyFont="1"/>
    <xf numFmtId="0" fontId="67" fillId="0" borderId="0" xfId="11" applyFont="1"/>
    <xf numFmtId="0" fontId="4" fillId="0" borderId="0" xfId="11" applyAlignment="1">
      <alignment horizontal="center"/>
    </xf>
    <xf numFmtId="0" fontId="4" fillId="0" borderId="0" xfId="11" applyNumberFormat="1" applyAlignment="1">
      <alignment horizontal="right"/>
    </xf>
    <xf numFmtId="0" fontId="4" fillId="28" borderId="0" xfId="11" applyFill="1" applyAlignment="1">
      <alignment horizontal="center"/>
    </xf>
    <xf numFmtId="170" fontId="4" fillId="28" borderId="0" xfId="11" applyNumberFormat="1" applyFill="1" applyAlignment="1">
      <alignment horizontal="center"/>
    </xf>
    <xf numFmtId="172" fontId="4" fillId="28" borderId="0" xfId="11" applyNumberFormat="1" applyFont="1" applyFill="1" applyBorder="1" applyAlignment="1" applyProtection="1">
      <alignment horizontal="center" vertical="top"/>
      <protection locked="0"/>
    </xf>
    <xf numFmtId="0" fontId="4" fillId="28" borderId="0" xfId="11" applyFont="1" applyFill="1"/>
    <xf numFmtId="0" fontId="67" fillId="28" borderId="0" xfId="11" applyFont="1" applyFill="1"/>
    <xf numFmtId="170" fontId="4" fillId="0" borderId="0" xfId="11" applyNumberFormat="1" applyAlignment="1">
      <alignment horizontal="center"/>
    </xf>
    <xf numFmtId="172" fontId="4" fillId="0" borderId="0" xfId="11" applyNumberFormat="1" applyFont="1" applyFill="1" applyBorder="1" applyAlignment="1" applyProtection="1">
      <alignment horizontal="center" vertical="top"/>
      <protection locked="0"/>
    </xf>
    <xf numFmtId="170" fontId="4" fillId="19" borderId="0" xfId="11" applyNumberFormat="1" applyFill="1" applyAlignment="1">
      <alignment horizontal="center"/>
    </xf>
    <xf numFmtId="172" fontId="4" fillId="19" borderId="0" xfId="11" applyNumberFormat="1" applyFont="1" applyFill="1" applyBorder="1" applyAlignment="1" applyProtection="1">
      <alignment horizontal="center" vertical="top"/>
      <protection locked="0"/>
    </xf>
    <xf numFmtId="0" fontId="4" fillId="19" borderId="0" xfId="11" applyFont="1" applyFill="1"/>
    <xf numFmtId="0" fontId="67" fillId="19" borderId="0" xfId="11" applyFont="1" applyFill="1"/>
    <xf numFmtId="170" fontId="4" fillId="0" borderId="0" xfId="11" applyNumberFormat="1" applyFill="1" applyAlignment="1">
      <alignment horizontal="center"/>
    </xf>
    <xf numFmtId="170" fontId="4" fillId="29" borderId="0" xfId="11" applyNumberFormat="1" applyFill="1" applyAlignment="1">
      <alignment horizontal="center"/>
    </xf>
    <xf numFmtId="172" fontId="4" fillId="29" borderId="0" xfId="11" applyNumberFormat="1" applyFont="1" applyFill="1" applyBorder="1" applyAlignment="1" applyProtection="1">
      <alignment horizontal="center" vertical="top"/>
      <protection locked="0"/>
    </xf>
    <xf numFmtId="0" fontId="4" fillId="29" borderId="0" xfId="11" applyFont="1" applyFill="1"/>
    <xf numFmtId="0" fontId="67" fillId="29" borderId="0" xfId="11" applyFont="1" applyFill="1"/>
    <xf numFmtId="0" fontId="67" fillId="0" borderId="0" xfId="11" applyFont="1" applyAlignment="1">
      <alignment horizontal="center" wrapText="1"/>
    </xf>
    <xf numFmtId="0" fontId="67" fillId="0" borderId="0" xfId="11" applyFont="1" applyAlignment="1">
      <alignment wrapText="1"/>
    </xf>
    <xf numFmtId="170" fontId="67" fillId="0" borderId="0" xfId="11" applyNumberFormat="1" applyFont="1"/>
    <xf numFmtId="0" fontId="67" fillId="0" borderId="0" xfId="11" applyFont="1" applyProtection="1">
      <protection locked="0"/>
    </xf>
    <xf numFmtId="0" fontId="5" fillId="21" borderId="7" xfId="0" applyNumberFormat="1" applyFont="1" applyFill="1" applyBorder="1" applyAlignment="1" applyProtection="1">
      <alignment horizontal="center" vertical="center" wrapText="1"/>
      <protection locked="0"/>
    </xf>
    <xf numFmtId="0" fontId="14" fillId="21" borderId="7" xfId="0" applyNumberFormat="1" applyFont="1" applyFill="1" applyBorder="1" applyAlignment="1" applyProtection="1">
      <alignment horizontal="center" vertical="center" wrapText="1"/>
      <protection locked="0"/>
    </xf>
    <xf numFmtId="0" fontId="6" fillId="0" borderId="0" xfId="0" applyNumberFormat="1" applyFont="1" applyBorder="1" applyAlignment="1" applyProtection="1">
      <alignment horizontal="left" vertical="center"/>
    </xf>
    <xf numFmtId="0" fontId="70" fillId="0" borderId="0" xfId="0" applyFont="1"/>
    <xf numFmtId="0" fontId="70" fillId="0" borderId="35" xfId="0" applyFont="1" applyBorder="1" applyAlignment="1">
      <alignment horizontal="left" vertical="center"/>
    </xf>
    <xf numFmtId="0" fontId="70" fillId="0" borderId="2" xfId="0" applyFont="1" applyBorder="1" applyAlignment="1">
      <alignment horizontal="left" vertical="center"/>
    </xf>
    <xf numFmtId="0" fontId="5" fillId="23" borderId="7" xfId="0" applyFont="1" applyFill="1" applyBorder="1" applyAlignment="1" applyProtection="1">
      <alignment horizontal="center" vertical="center"/>
      <protection locked="0"/>
    </xf>
    <xf numFmtId="0" fontId="5" fillId="21" borderId="0" xfId="0" applyFont="1" applyFill="1" applyBorder="1" applyAlignment="1" applyProtection="1">
      <alignment wrapText="1"/>
      <protection locked="0"/>
    </xf>
    <xf numFmtId="0" fontId="69" fillId="0" borderId="0" xfId="0" applyFont="1" applyBorder="1" applyAlignment="1">
      <alignment horizontal="center" vertical="top"/>
    </xf>
    <xf numFmtId="0" fontId="69" fillId="0" borderId="0" xfId="0" applyNumberFormat="1" applyFont="1" applyBorder="1"/>
    <xf numFmtId="0" fontId="5" fillId="22" borderId="0" xfId="0" applyFont="1" applyFill="1" applyBorder="1" applyAlignment="1" applyProtection="1">
      <alignment horizontal="center" vertical="center"/>
      <protection locked="0"/>
    </xf>
    <xf numFmtId="0" fontId="57" fillId="0" borderId="0" xfId="0" applyNumberFormat="1" applyFont="1" applyBorder="1" applyAlignment="1" applyProtection="1">
      <alignment horizontal="left" vertical="center"/>
    </xf>
    <xf numFmtId="0" fontId="69" fillId="0" borderId="0" xfId="0" applyFont="1" applyBorder="1"/>
    <xf numFmtId="0" fontId="69" fillId="0" borderId="0" xfId="0" applyFont="1" applyFill="1" applyBorder="1" applyAlignment="1">
      <alignment horizontal="center" vertical="top"/>
    </xf>
    <xf numFmtId="0" fontId="57" fillId="0" borderId="0" xfId="0" applyFont="1" applyFill="1" applyBorder="1" applyAlignment="1">
      <alignment horizontal="center" wrapText="1"/>
    </xf>
    <xf numFmtId="0" fontId="69" fillId="0" borderId="0" xfId="0" applyNumberFormat="1" applyFont="1" applyFill="1" applyBorder="1"/>
    <xf numFmtId="0" fontId="5" fillId="0" borderId="0" xfId="0" applyFont="1" applyFill="1" applyBorder="1" applyAlignment="1" applyProtection="1">
      <alignment horizontal="center" vertical="center"/>
      <protection locked="0"/>
    </xf>
    <xf numFmtId="0" fontId="57" fillId="0" borderId="0" xfId="0" applyNumberFormat="1" applyFont="1" applyFill="1" applyBorder="1" applyAlignment="1" applyProtection="1">
      <alignment horizontal="left" vertical="center"/>
    </xf>
    <xf numFmtId="0" fontId="69" fillId="0" borderId="0" xfId="0" applyFont="1" applyFill="1" applyBorder="1"/>
    <xf numFmtId="0" fontId="7" fillId="0" borderId="0" xfId="0" applyNumberFormat="1" applyFont="1" applyFill="1" applyBorder="1" applyAlignment="1">
      <alignment horizontal="left" indent="1"/>
    </xf>
    <xf numFmtId="0" fontId="5" fillId="0" borderId="0" xfId="0" applyFont="1" applyFill="1" applyBorder="1" applyAlignment="1" applyProtection="1">
      <alignment wrapText="1"/>
      <protection locked="0"/>
    </xf>
    <xf numFmtId="0" fontId="5" fillId="23" borderId="38" xfId="0" applyFont="1" applyFill="1" applyBorder="1" applyAlignment="1" applyProtection="1">
      <alignment horizontal="center" vertical="center"/>
      <protection locked="0"/>
    </xf>
    <xf numFmtId="0" fontId="68" fillId="0" borderId="0" xfId="0" applyFont="1" applyBorder="1"/>
    <xf numFmtId="0" fontId="79" fillId="0" borderId="0" xfId="0" applyFont="1" applyBorder="1"/>
    <xf numFmtId="0" fontId="77" fillId="21" borderId="34" xfId="0" applyFont="1" applyFill="1" applyBorder="1" applyAlignment="1">
      <alignment vertical="center" wrapText="1"/>
    </xf>
    <xf numFmtId="0" fontId="77" fillId="21" borderId="3" xfId="0" applyFont="1" applyFill="1" applyBorder="1" applyAlignment="1">
      <alignment vertical="center" wrapText="1"/>
    </xf>
    <xf numFmtId="168" fontId="1" fillId="27" borderId="7" xfId="3" quotePrefix="1" applyNumberFormat="1" applyFont="1" applyFill="1" applyBorder="1"/>
    <xf numFmtId="0" fontId="0" fillId="0" borderId="2" xfId="0" applyFill="1" applyBorder="1"/>
    <xf numFmtId="0" fontId="0" fillId="0" borderId="22" xfId="0" applyFill="1" applyBorder="1" applyAlignment="1">
      <alignment horizontal="center" vertical="center"/>
    </xf>
    <xf numFmtId="0" fontId="0" fillId="0" borderId="40" xfId="0" applyFill="1" applyBorder="1" applyAlignment="1">
      <alignment horizontal="center" vertical="center"/>
    </xf>
    <xf numFmtId="0" fontId="0" fillId="0" borderId="8" xfId="0" applyFill="1" applyBorder="1" applyAlignment="1">
      <alignment horizontal="center" vertical="center"/>
    </xf>
    <xf numFmtId="0" fontId="0" fillId="0" borderId="41"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xf numFmtId="0" fontId="0" fillId="0" borderId="21" xfId="0" applyFill="1" applyBorder="1"/>
    <xf numFmtId="0" fontId="0" fillId="0" borderId="43"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xf numFmtId="0" fontId="4" fillId="0" borderId="22" xfId="0" applyFont="1" applyFill="1" applyBorder="1" applyAlignment="1">
      <alignment vertical="center"/>
    </xf>
    <xf numFmtId="0" fontId="82" fillId="0" borderId="0" xfId="0" applyFont="1" applyBorder="1"/>
    <xf numFmtId="0" fontId="4" fillId="0" borderId="0" xfId="0" applyFont="1" applyFill="1" applyBorder="1" applyAlignment="1">
      <alignment vertical="center"/>
    </xf>
    <xf numFmtId="0" fontId="70" fillId="0" borderId="0" xfId="0" applyFont="1" applyBorder="1" applyAlignment="1">
      <alignment horizontal="left" vertical="center"/>
    </xf>
    <xf numFmtId="0" fontId="80" fillId="21" borderId="1" xfId="0" applyFont="1" applyFill="1" applyBorder="1" applyAlignment="1">
      <alignment horizontal="right" vertical="center" wrapText="1"/>
    </xf>
    <xf numFmtId="0" fontId="80" fillId="21" borderId="21" xfId="0" applyFont="1" applyFill="1" applyBorder="1" applyAlignment="1">
      <alignment horizontal="right" vertical="center" wrapText="1"/>
    </xf>
    <xf numFmtId="0" fontId="75" fillId="15" borderId="38" xfId="0" applyFont="1" applyFill="1" applyBorder="1" applyAlignment="1">
      <alignment horizontal="center" vertical="center"/>
    </xf>
    <xf numFmtId="0" fontId="75" fillId="21" borderId="40" xfId="0" applyFont="1" applyFill="1" applyBorder="1" applyAlignment="1">
      <alignment horizontal="left" vertical="center" wrapText="1"/>
    </xf>
    <xf numFmtId="0" fontId="75" fillId="21" borderId="36" xfId="0" applyFont="1" applyFill="1" applyBorder="1" applyAlignment="1">
      <alignment vertical="center" wrapText="1"/>
    </xf>
    <xf numFmtId="0" fontId="83" fillId="21" borderId="21" xfId="16" applyFont="1" applyFill="1" applyBorder="1" applyAlignment="1">
      <alignment horizontal="right" vertical="center"/>
    </xf>
    <xf numFmtId="0" fontId="81" fillId="21" borderId="21" xfId="16" applyFont="1" applyFill="1" applyBorder="1" applyAlignment="1">
      <alignment horizontal="right" vertical="center"/>
    </xf>
    <xf numFmtId="0" fontId="75" fillId="21" borderId="2" xfId="0" applyFont="1" applyFill="1" applyBorder="1" applyAlignment="1">
      <alignment vertical="center" wrapText="1"/>
    </xf>
    <xf numFmtId="0" fontId="75" fillId="30" borderId="37" xfId="0" applyFont="1" applyFill="1" applyBorder="1" applyAlignment="1">
      <alignment vertical="center" wrapText="1"/>
    </xf>
    <xf numFmtId="0" fontId="80" fillId="30" borderId="1" xfId="0" applyFont="1" applyFill="1" applyBorder="1" applyAlignment="1">
      <alignment horizontal="right" vertical="center" wrapText="1"/>
    </xf>
    <xf numFmtId="0" fontId="81" fillId="21" borderId="1" xfId="16" applyFont="1" applyFill="1" applyBorder="1" applyAlignment="1">
      <alignment horizontal="right" vertical="center"/>
    </xf>
    <xf numFmtId="0" fontId="80" fillId="21" borderId="43" xfId="0" applyFont="1" applyFill="1" applyBorder="1" applyAlignment="1">
      <alignment horizontal="right" vertical="center" wrapText="1"/>
    </xf>
    <xf numFmtId="0" fontId="78" fillId="21" borderId="21" xfId="0" applyFont="1" applyFill="1" applyBorder="1" applyAlignment="1">
      <alignment horizontal="right" vertical="center" wrapText="1"/>
    </xf>
    <xf numFmtId="0" fontId="75" fillId="30" borderId="40" xfId="0" applyFont="1" applyFill="1" applyBorder="1" applyAlignment="1">
      <alignment vertical="top" wrapText="1"/>
    </xf>
    <xf numFmtId="0" fontId="80" fillId="30" borderId="43" xfId="0" applyFont="1" applyFill="1" applyBorder="1" applyAlignment="1">
      <alignment horizontal="right" vertical="center" wrapText="1"/>
    </xf>
    <xf numFmtId="0" fontId="80" fillId="30" borderId="21" xfId="0" applyFont="1" applyFill="1" applyBorder="1" applyAlignment="1">
      <alignment horizontal="right" vertical="center" wrapText="1"/>
    </xf>
    <xf numFmtId="0" fontId="80" fillId="30" borderId="22" xfId="0" applyFont="1" applyFill="1" applyBorder="1" applyAlignment="1">
      <alignment horizontal="right" vertical="center" wrapText="1"/>
    </xf>
    <xf numFmtId="0" fontId="80" fillId="30" borderId="3" xfId="0" applyFont="1" applyFill="1" applyBorder="1" applyAlignment="1">
      <alignment horizontal="right" vertical="center" wrapText="1"/>
    </xf>
    <xf numFmtId="0" fontId="78" fillId="21" borderId="2" xfId="0" applyFont="1" applyFill="1" applyBorder="1" applyAlignment="1">
      <alignment vertical="center" wrapText="1"/>
    </xf>
    <xf numFmtId="0" fontId="75" fillId="30" borderId="40" xfId="0" applyFont="1" applyFill="1" applyBorder="1" applyAlignment="1">
      <alignment vertical="center" wrapText="1"/>
    </xf>
    <xf numFmtId="0" fontId="81" fillId="21" borderId="43" xfId="16" applyFont="1" applyFill="1" applyBorder="1" applyAlignment="1">
      <alignment horizontal="right" vertical="center"/>
    </xf>
    <xf numFmtId="0" fontId="75" fillId="30" borderId="39" xfId="0" applyFont="1" applyFill="1" applyBorder="1" applyAlignment="1">
      <alignment vertical="center" wrapText="1"/>
    </xf>
    <xf numFmtId="0" fontId="75" fillId="30" borderId="42" xfId="0" applyFont="1" applyFill="1" applyBorder="1" applyAlignment="1">
      <alignment vertical="center" wrapText="1"/>
    </xf>
    <xf numFmtId="0" fontId="4" fillId="0" borderId="39" xfId="0" applyFont="1" applyFill="1" applyBorder="1" applyAlignment="1">
      <alignment horizontal="left" vertical="center"/>
    </xf>
    <xf numFmtId="0" fontId="0" fillId="0" borderId="2" xfId="0" applyBorder="1"/>
    <xf numFmtId="0" fontId="76" fillId="15" borderId="27" xfId="0" applyFont="1" applyFill="1" applyBorder="1" applyAlignment="1">
      <alignment horizontal="center" vertical="center" wrapText="1"/>
    </xf>
    <xf numFmtId="0" fontId="76" fillId="15" borderId="13" xfId="0" applyFont="1" applyFill="1" applyBorder="1" applyAlignment="1">
      <alignment horizontal="center" vertical="center" wrapText="1"/>
    </xf>
    <xf numFmtId="14" fontId="66" fillId="0" borderId="0" xfId="11" applyNumberFormat="1" applyFont="1" applyBorder="1" applyAlignment="1">
      <alignment horizontal="center"/>
    </xf>
    <xf numFmtId="3" fontId="5" fillId="3" borderId="7" xfId="0" applyNumberFormat="1" applyFont="1" applyFill="1" applyBorder="1" applyAlignment="1" applyProtection="1">
      <alignment horizontal="center" vertical="center"/>
      <protection locked="0"/>
    </xf>
    <xf numFmtId="0" fontId="42" fillId="22" borderId="42" xfId="0" applyFont="1" applyFill="1" applyBorder="1" applyAlignment="1" applyProtection="1">
      <alignment horizontal="center" vertical="center"/>
      <protection locked="0"/>
    </xf>
    <xf numFmtId="3" fontId="5" fillId="3" borderId="7" xfId="0" applyNumberFormat="1" applyFont="1" applyFill="1" applyBorder="1" applyAlignment="1" applyProtection="1">
      <alignment horizontal="right" vertical="center"/>
      <protection locked="0"/>
    </xf>
    <xf numFmtId="14" fontId="66" fillId="0" borderId="0" xfId="11" applyNumberFormat="1" applyFont="1" applyBorder="1" applyAlignment="1" applyProtection="1">
      <alignment horizontal="center"/>
      <protection locked="0"/>
    </xf>
    <xf numFmtId="3" fontId="5" fillId="21" borderId="7" xfId="0" applyNumberFormat="1" applyFont="1" applyFill="1" applyBorder="1" applyAlignment="1" applyProtection="1">
      <alignment horizontal="center" vertical="center" wrapText="1"/>
      <protection locked="0"/>
    </xf>
    <xf numFmtId="3" fontId="5" fillId="21" borderId="7" xfId="0" applyNumberFormat="1" applyFont="1" applyFill="1" applyBorder="1" applyAlignment="1" applyProtection="1">
      <alignment horizontal="center" vertical="center"/>
      <protection locked="0"/>
    </xf>
    <xf numFmtId="4" fontId="5" fillId="21" borderId="7" xfId="0" applyNumberFormat="1" applyFont="1" applyFill="1" applyBorder="1" applyAlignment="1" applyProtection="1">
      <alignment horizontal="center" vertical="center"/>
      <protection locked="0"/>
    </xf>
    <xf numFmtId="3" fontId="5" fillId="21" borderId="7" xfId="0" applyNumberFormat="1" applyFont="1" applyFill="1" applyBorder="1" applyAlignment="1" applyProtection="1">
      <alignment horizontal="center" vertical="top"/>
      <protection locked="0"/>
    </xf>
    <xf numFmtId="3" fontId="5" fillId="21" borderId="7" xfId="0" applyNumberFormat="1" applyFont="1" applyFill="1" applyBorder="1" applyAlignment="1" applyProtection="1">
      <alignment horizontal="center"/>
      <protection locked="0"/>
    </xf>
    <xf numFmtId="4" fontId="5" fillId="3" borderId="7" xfId="0" applyNumberFormat="1" applyFont="1" applyFill="1" applyBorder="1" applyAlignment="1" applyProtection="1">
      <alignment horizontal="center"/>
      <protection locked="0"/>
    </xf>
    <xf numFmtId="4" fontId="5" fillId="21" borderId="7" xfId="0" applyNumberFormat="1" applyFont="1" applyFill="1" applyBorder="1" applyAlignment="1" applyProtection="1">
      <alignment horizontal="center"/>
      <protection locked="0"/>
    </xf>
    <xf numFmtId="3" fontId="5" fillId="31" borderId="38" xfId="0" applyNumberFormat="1" applyFont="1" applyFill="1" applyBorder="1" applyAlignment="1" applyProtection="1">
      <alignment horizontal="center"/>
      <protection locked="0"/>
    </xf>
    <xf numFmtId="0" fontId="60" fillId="0" borderId="0" xfId="0" applyFont="1" applyBorder="1" applyAlignment="1">
      <alignment horizontal="left" vertical="center" wrapText="1"/>
    </xf>
    <xf numFmtId="0" fontId="60" fillId="0" borderId="17" xfId="0" applyFont="1" applyBorder="1" applyAlignment="1">
      <alignment horizontal="left" vertical="center" wrapText="1"/>
    </xf>
    <xf numFmtId="0" fontId="5" fillId="0" borderId="0" xfId="0" applyFont="1" applyBorder="1" applyAlignment="1">
      <alignment horizontal="left" vertical="center" wrapText="1"/>
    </xf>
    <xf numFmtId="0" fontId="65" fillId="14" borderId="0" xfId="0" applyFont="1" applyFill="1" applyBorder="1" applyAlignment="1">
      <alignment horizontal="left" vertical="top"/>
    </xf>
    <xf numFmtId="0" fontId="65" fillId="14" borderId="17" xfId="0" applyFont="1" applyFill="1" applyBorder="1" applyAlignment="1">
      <alignment horizontal="left" vertical="top"/>
    </xf>
    <xf numFmtId="0" fontId="5" fillId="0" borderId="0" xfId="0" applyFont="1" applyBorder="1" applyAlignment="1">
      <alignment horizontal="right" vertical="center" wrapText="1"/>
    </xf>
    <xf numFmtId="0" fontId="48" fillId="0" borderId="0" xfId="0" applyFont="1" applyBorder="1" applyAlignment="1">
      <alignment horizontal="left" vertical="center" wrapText="1"/>
    </xf>
    <xf numFmtId="0" fontId="48" fillId="0" borderId="1" xfId="0" applyFont="1" applyBorder="1" applyAlignment="1">
      <alignment horizontal="left" vertical="center" wrapText="1"/>
    </xf>
    <xf numFmtId="0" fontId="6" fillId="20" borderId="0" xfId="0" applyFont="1" applyFill="1" applyBorder="1" applyAlignment="1">
      <alignment horizontal="left" wrapText="1"/>
    </xf>
    <xf numFmtId="0" fontId="5" fillId="3" borderId="30"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72" fillId="3" borderId="30" xfId="0" applyFont="1" applyFill="1" applyBorder="1" applyAlignment="1" applyProtection="1">
      <alignment horizontal="center" vertical="center"/>
      <protection locked="0"/>
    </xf>
    <xf numFmtId="0" fontId="72" fillId="3" borderId="5" xfId="0" applyFont="1" applyFill="1" applyBorder="1" applyAlignment="1" applyProtection="1">
      <alignment horizontal="center" vertical="center"/>
      <protection locked="0"/>
    </xf>
    <xf numFmtId="0" fontId="72" fillId="3" borderId="30" xfId="4" applyFont="1" applyFill="1" applyBorder="1" applyAlignment="1" applyProtection="1">
      <alignment horizontal="center" vertical="center"/>
      <protection locked="0"/>
    </xf>
    <xf numFmtId="0" fontId="72" fillId="3" borderId="30" xfId="0" applyNumberFormat="1" applyFont="1" applyFill="1" applyBorder="1" applyAlignment="1" applyProtection="1">
      <alignment horizontal="center" vertical="center"/>
      <protection locked="0"/>
    </xf>
    <xf numFmtId="0" fontId="72" fillId="3" borderId="5" xfId="0" applyNumberFormat="1" applyFont="1" applyFill="1" applyBorder="1" applyAlignment="1" applyProtection="1">
      <alignment horizontal="center" vertical="center"/>
      <protection locked="0"/>
    </xf>
    <xf numFmtId="0" fontId="5" fillId="2" borderId="0" xfId="0" applyFont="1" applyFill="1" applyBorder="1" applyAlignment="1">
      <alignment horizontal="left" vertical="center" wrapText="1"/>
    </xf>
    <xf numFmtId="0" fontId="60" fillId="0" borderId="0" xfId="0" applyFont="1" applyBorder="1" applyAlignment="1">
      <alignment horizontal="left" vertical="center"/>
    </xf>
    <xf numFmtId="0" fontId="60" fillId="0" borderId="17" xfId="0" applyFont="1" applyBorder="1" applyAlignment="1">
      <alignment horizontal="left" vertical="center"/>
    </xf>
    <xf numFmtId="0" fontId="60" fillId="0" borderId="0" xfId="0" applyFont="1" applyFill="1" applyBorder="1" applyAlignment="1">
      <alignment horizontal="left" vertical="center" wrapText="1"/>
    </xf>
    <xf numFmtId="0" fontId="60" fillId="0" borderId="17" xfId="0" applyFont="1" applyFill="1" applyBorder="1" applyAlignment="1">
      <alignment horizontal="left" vertical="center" wrapText="1"/>
    </xf>
    <xf numFmtId="0" fontId="60" fillId="0" borderId="0" xfId="0" applyFont="1" applyBorder="1" applyAlignment="1" applyProtection="1">
      <alignment horizontal="left" vertical="center" wrapText="1"/>
    </xf>
    <xf numFmtId="0" fontId="60" fillId="0" borderId="17" xfId="0" applyFont="1" applyBorder="1" applyAlignment="1" applyProtection="1">
      <alignment horizontal="left" vertical="center" wrapText="1"/>
    </xf>
    <xf numFmtId="0" fontId="37" fillId="9" borderId="0" xfId="0" applyFont="1" applyFill="1" applyBorder="1" applyAlignment="1">
      <alignment horizontal="left" vertical="center"/>
    </xf>
    <xf numFmtId="0" fontId="0" fillId="0" borderId="22" xfId="0" applyFill="1" applyBorder="1" applyAlignment="1">
      <alignment vertical="center" wrapText="1"/>
    </xf>
    <xf numFmtId="0" fontId="0" fillId="0" borderId="3" xfId="0" applyFill="1" applyBorder="1" applyAlignment="1">
      <alignment vertical="center" wrapText="1"/>
    </xf>
    <xf numFmtId="0" fontId="41" fillId="0" borderId="10" xfId="0" applyFont="1" applyBorder="1" applyAlignment="1">
      <alignment horizontal="center" vertical="center" wrapText="1"/>
    </xf>
    <xf numFmtId="0" fontId="41" fillId="0" borderId="10" xfId="0" applyFont="1" applyBorder="1" applyAlignment="1">
      <alignment horizontal="center" vertical="center"/>
    </xf>
    <xf numFmtId="0" fontId="43" fillId="21" borderId="10" xfId="0" applyFont="1" applyFill="1" applyBorder="1" applyAlignment="1" applyProtection="1">
      <alignment horizontal="left" vertical="top" wrapText="1"/>
      <protection locked="0"/>
    </xf>
    <xf numFmtId="0" fontId="43" fillId="21" borderId="10" xfId="0" applyFont="1" applyFill="1" applyBorder="1" applyAlignment="1" applyProtection="1">
      <alignment horizontal="left" vertical="top"/>
      <protection locked="0"/>
    </xf>
    <xf numFmtId="0" fontId="0" fillId="0" borderId="30" xfId="0" applyFill="1" applyBorder="1" applyAlignment="1">
      <alignment vertical="center" wrapText="1"/>
    </xf>
    <xf numFmtId="0" fontId="0" fillId="0" borderId="5" xfId="0" applyFill="1" applyBorder="1" applyAlignment="1">
      <alignment vertical="center" wrapText="1"/>
    </xf>
    <xf numFmtId="0" fontId="0" fillId="0" borderId="30" xfId="0" applyBorder="1" applyAlignment="1">
      <alignment vertical="center" wrapText="1"/>
    </xf>
    <xf numFmtId="0" fontId="0" fillId="0" borderId="5" xfId="0" applyBorder="1" applyAlignment="1">
      <alignment vertical="center" wrapText="1"/>
    </xf>
    <xf numFmtId="0" fontId="41" fillId="0" borderId="31" xfId="0" applyFont="1" applyBorder="1" applyAlignment="1">
      <alignment horizontal="center" vertical="center"/>
    </xf>
    <xf numFmtId="0" fontId="73" fillId="21" borderId="10" xfId="0" applyFont="1" applyFill="1" applyBorder="1" applyAlignment="1" applyProtection="1">
      <alignment horizontal="left" vertical="center" wrapText="1"/>
      <protection locked="0"/>
    </xf>
    <xf numFmtId="0" fontId="73" fillId="21" borderId="10" xfId="0" applyFont="1" applyFill="1" applyBorder="1" applyAlignment="1" applyProtection="1">
      <alignment horizontal="left" vertical="center"/>
      <protection locked="0"/>
    </xf>
    <xf numFmtId="0" fontId="73" fillId="21" borderId="31" xfId="0" applyFont="1" applyFill="1" applyBorder="1" applyAlignment="1" applyProtection="1">
      <alignment horizontal="left" vertical="center"/>
      <protection locked="0"/>
    </xf>
    <xf numFmtId="0" fontId="41" fillId="2" borderId="10" xfId="0" applyFont="1" applyFill="1" applyBorder="1" applyAlignment="1">
      <alignment horizontal="center" vertical="center" wrapText="1"/>
    </xf>
    <xf numFmtId="0" fontId="41" fillId="2" borderId="10" xfId="0" applyFont="1" applyFill="1" applyBorder="1" applyAlignment="1">
      <alignment horizontal="center" vertical="center"/>
    </xf>
    <xf numFmtId="0" fontId="41" fillId="2" borderId="31" xfId="0" applyFont="1" applyFill="1" applyBorder="1" applyAlignment="1">
      <alignment horizontal="center" vertical="center"/>
    </xf>
    <xf numFmtId="0" fontId="0" fillId="0" borderId="22" xfId="0" applyBorder="1" applyAlignment="1">
      <alignment vertical="center" wrapText="1"/>
    </xf>
    <xf numFmtId="0" fontId="0" fillId="0" borderId="3" xfId="0" applyBorder="1" applyAlignment="1">
      <alignment vertical="center" wrapText="1"/>
    </xf>
    <xf numFmtId="0" fontId="41" fillId="0" borderId="10" xfId="0" applyFont="1" applyFill="1" applyBorder="1" applyAlignment="1">
      <alignment horizontal="center" vertical="center" wrapText="1"/>
    </xf>
    <xf numFmtId="0" fontId="41" fillId="0" borderId="10" xfId="0" applyFont="1" applyFill="1" applyBorder="1" applyAlignment="1">
      <alignment horizontal="center" vertical="center"/>
    </xf>
    <xf numFmtId="0" fontId="41" fillId="0" borderId="31" xfId="0" applyFont="1" applyFill="1" applyBorder="1" applyAlignment="1">
      <alignment horizontal="center" vertical="center"/>
    </xf>
    <xf numFmtId="0" fontId="73" fillId="21" borderId="31" xfId="0" applyFont="1" applyFill="1" applyBorder="1" applyAlignment="1" applyProtection="1">
      <alignment horizontal="left" vertical="center" wrapText="1"/>
      <protection locked="0"/>
    </xf>
    <xf numFmtId="0" fontId="37" fillId="9" borderId="32" xfId="0" applyFont="1" applyFill="1" applyBorder="1" applyAlignment="1">
      <alignment horizontal="left" vertical="center"/>
    </xf>
    <xf numFmtId="0" fontId="31" fillId="9" borderId="23" xfId="0" applyFont="1" applyFill="1" applyBorder="1" applyAlignment="1">
      <alignment horizontal="center" vertical="center"/>
    </xf>
    <xf numFmtId="0" fontId="0" fillId="0" borderId="15" xfId="0" applyBorder="1" applyAlignment="1">
      <alignment horizontal="center" vertical="center"/>
    </xf>
    <xf numFmtId="0" fontId="37" fillId="9" borderId="33" xfId="0" applyFont="1" applyFill="1" applyBorder="1" applyAlignment="1">
      <alignment horizontal="left" vertical="center"/>
    </xf>
    <xf numFmtId="0" fontId="34" fillId="0" borderId="0" xfId="0" applyFont="1" applyAlignment="1">
      <alignment vertical="top" wrapText="1"/>
    </xf>
    <xf numFmtId="0" fontId="75" fillId="15" borderId="39" xfId="0" applyFont="1" applyFill="1" applyBorder="1" applyAlignment="1">
      <alignment horizontal="center" vertical="center"/>
    </xf>
    <xf numFmtId="0" fontId="75" fillId="15" borderId="42" xfId="0" applyFont="1" applyFill="1" applyBorder="1" applyAlignment="1">
      <alignment horizontal="center" vertical="center"/>
    </xf>
    <xf numFmtId="0" fontId="1" fillId="22" borderId="0" xfId="6" applyFont="1" applyFill="1" applyBorder="1" applyAlignment="1">
      <alignment horizontal="left" wrapText="1"/>
    </xf>
    <xf numFmtId="0" fontId="1" fillId="22" borderId="1" xfId="6" applyFont="1" applyFill="1" applyBorder="1" applyAlignment="1">
      <alignment horizontal="left" wrapText="1"/>
    </xf>
    <xf numFmtId="0" fontId="1" fillId="22" borderId="0" xfId="6" applyFont="1" applyFill="1" applyAlignment="1">
      <alignment horizontal="left" wrapText="1"/>
    </xf>
    <xf numFmtId="0" fontId="4" fillId="0" borderId="0" xfId="0" applyFont="1" applyBorder="1" applyAlignment="1">
      <alignment horizontal="left" vertical="top" wrapText="1"/>
    </xf>
    <xf numFmtId="0" fontId="13" fillId="0" borderId="0"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top" wrapText="1"/>
      <protection locked="0"/>
    </xf>
  </cellXfs>
  <cellStyles count="17">
    <cellStyle name="Comma" xfId="9" builtinId="3"/>
    <cellStyle name="Comma 2" xfId="1"/>
    <cellStyle name="Comma 2 2" xfId="2"/>
    <cellStyle name="Comma 3" xfId="3"/>
    <cellStyle name="Hyperlink" xfId="4" builtinId="8"/>
    <cellStyle name="Normal" xfId="0" builtinId="0"/>
    <cellStyle name="Normal 10" xfId="16"/>
    <cellStyle name="Normal 15" xfId="11"/>
    <cellStyle name="Normal 2" xfId="5"/>
    <cellStyle name="Normal 2 2" xfId="6"/>
    <cellStyle name="Normal 25" xfId="12"/>
    <cellStyle name="Normal 3" xfId="7"/>
    <cellStyle name="Normal 42" xfId="13"/>
    <cellStyle name="Normal 65" xfId="14"/>
    <cellStyle name="Normal 72" xfId="15"/>
    <cellStyle name="Normal 9" xfId="10"/>
    <cellStyle name="Percent" xfId="8" builtinId="5"/>
  </cellStyles>
  <dxfs count="0"/>
  <tableStyles count="0" defaultTableStyle="TableStyleMedium2" defaultPivotStyle="PivotStyleLight16"/>
  <colors>
    <mruColors>
      <color rgb="FFFFFF99"/>
      <color rgb="FFFF9999"/>
      <color rgb="FFFF7C80"/>
      <color rgb="FFFFCC00"/>
      <color rgb="FFCF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152400</xdr:colOff>
      <xdr:row>18</xdr:row>
      <xdr:rowOff>114300</xdr:rowOff>
    </xdr:from>
    <xdr:to>
      <xdr:col>0</xdr:col>
      <xdr:colOff>304800</xdr:colOff>
      <xdr:row>18</xdr:row>
      <xdr:rowOff>266700</xdr:rowOff>
    </xdr:to>
    <xdr:sp macro="" textlink="">
      <xdr:nvSpPr>
        <xdr:cNvPr id="4" name="Rectangle 3"/>
        <xdr:cNvSpPr/>
      </xdr:nvSpPr>
      <xdr:spPr bwMode="auto">
        <a:xfrm>
          <a:off x="152400" y="3860800"/>
          <a:ext cx="152400" cy="152400"/>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1</xdr:col>
      <xdr:colOff>733424</xdr:colOff>
      <xdr:row>6</xdr:row>
      <xdr:rowOff>85725</xdr:rowOff>
    </xdr:from>
    <xdr:to>
      <xdr:col>1</xdr:col>
      <xdr:colOff>2552699</xdr:colOff>
      <xdr:row>17</xdr:row>
      <xdr:rowOff>9525</xdr:rowOff>
    </xdr:to>
    <xdr:pic>
      <xdr:nvPicPr>
        <xdr:cNvPr id="1025" name="Picture 37" descr="Description: PPA Logo"/>
        <xdr:cNvPicPr>
          <a:picLocks noChangeAspect="1" noChangeArrowheads="1"/>
        </xdr:cNvPicPr>
      </xdr:nvPicPr>
      <xdr:blipFill>
        <a:blip xmlns:r="http://schemas.openxmlformats.org/officeDocument/2006/relationships" r:embed="rId1" cstate="print"/>
        <a:srcRect/>
        <a:stretch>
          <a:fillRect/>
        </a:stretch>
      </xdr:blipFill>
      <xdr:spPr bwMode="auto">
        <a:xfrm>
          <a:off x="1190624" y="1114425"/>
          <a:ext cx="1819275" cy="2438400"/>
        </a:xfrm>
        <a:prstGeom prst="rect">
          <a:avLst/>
        </a:prstGeom>
        <a:noFill/>
        <a:ln w="9525">
          <a:noFill/>
          <a:miter lim="800000"/>
          <a:headEnd/>
          <a:tailEnd/>
        </a:ln>
      </xdr:spPr>
    </xdr:pic>
    <xdr:clientData/>
  </xdr:twoCellAnchor>
  <xdr:twoCellAnchor editAs="oneCell">
    <xdr:from>
      <xdr:col>5</xdr:col>
      <xdr:colOff>133350</xdr:colOff>
      <xdr:row>6</xdr:row>
      <xdr:rowOff>142875</xdr:rowOff>
    </xdr:from>
    <xdr:to>
      <xdr:col>8</xdr:col>
      <xdr:colOff>993400</xdr:colOff>
      <xdr:row>6</xdr:row>
      <xdr:rowOff>144555</xdr:rowOff>
    </xdr:to>
    <xdr:pic>
      <xdr:nvPicPr>
        <xdr:cNvPr id="1026" name="Picture 2"/>
        <xdr:cNvPicPr>
          <a:picLocks noChangeAspect="1"/>
        </xdr:cNvPicPr>
      </xdr:nvPicPr>
      <xdr:blipFill>
        <a:blip xmlns:r="http://schemas.openxmlformats.org/officeDocument/2006/relationships" r:embed="rId2" cstate="print"/>
        <a:srcRect/>
        <a:stretch>
          <a:fillRect/>
        </a:stretch>
      </xdr:blipFill>
      <xdr:spPr bwMode="auto">
        <a:xfrm>
          <a:off x="13887450" y="1123950"/>
          <a:ext cx="4124325" cy="1276350"/>
        </a:xfrm>
        <a:prstGeom prst="rect">
          <a:avLst/>
        </a:prstGeom>
        <a:noFill/>
        <a:ln w="9525">
          <a:noFill/>
          <a:miter lim="800000"/>
          <a:headEnd/>
          <a:tailEnd/>
        </a:ln>
      </xdr:spPr>
    </xdr:pic>
    <xdr:clientData/>
  </xdr:twoCellAnchor>
  <xdr:twoCellAnchor>
    <xdr:from>
      <xdr:col>0</xdr:col>
      <xdr:colOff>161925</xdr:colOff>
      <xdr:row>19</xdr:row>
      <xdr:rowOff>38100</xdr:rowOff>
    </xdr:from>
    <xdr:to>
      <xdr:col>0</xdr:col>
      <xdr:colOff>314325</xdr:colOff>
      <xdr:row>19</xdr:row>
      <xdr:rowOff>193675</xdr:rowOff>
    </xdr:to>
    <xdr:sp macro="" textlink="">
      <xdr:nvSpPr>
        <xdr:cNvPr id="7" name="Rectangle 6"/>
        <xdr:cNvSpPr/>
      </xdr:nvSpPr>
      <xdr:spPr bwMode="auto">
        <a:xfrm>
          <a:off x="161925" y="41338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161925</xdr:colOff>
      <xdr:row>20</xdr:row>
      <xdr:rowOff>276225</xdr:rowOff>
    </xdr:from>
    <xdr:to>
      <xdr:col>0</xdr:col>
      <xdr:colOff>314325</xdr:colOff>
      <xdr:row>20</xdr:row>
      <xdr:rowOff>431800</xdr:rowOff>
    </xdr:to>
    <xdr:sp macro="" textlink="">
      <xdr:nvSpPr>
        <xdr:cNvPr id="8" name="Rectangle 7"/>
        <xdr:cNvSpPr/>
      </xdr:nvSpPr>
      <xdr:spPr bwMode="auto">
        <a:xfrm>
          <a:off x="161925" y="46291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21</xdr:row>
      <xdr:rowOff>38100</xdr:rowOff>
    </xdr:from>
    <xdr:to>
      <xdr:col>0</xdr:col>
      <xdr:colOff>323850</xdr:colOff>
      <xdr:row>21</xdr:row>
      <xdr:rowOff>193675</xdr:rowOff>
    </xdr:to>
    <xdr:sp macro="" textlink="">
      <xdr:nvSpPr>
        <xdr:cNvPr id="9" name="Rectangle 8"/>
        <xdr:cNvSpPr/>
      </xdr:nvSpPr>
      <xdr:spPr bwMode="auto">
        <a:xfrm>
          <a:off x="171450" y="5153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22</xdr:row>
      <xdr:rowOff>57150</xdr:rowOff>
    </xdr:from>
    <xdr:to>
      <xdr:col>0</xdr:col>
      <xdr:colOff>323850</xdr:colOff>
      <xdr:row>22</xdr:row>
      <xdr:rowOff>212725</xdr:rowOff>
    </xdr:to>
    <xdr:sp macro="" textlink="">
      <xdr:nvSpPr>
        <xdr:cNvPr id="10" name="Rectangle 9"/>
        <xdr:cNvSpPr/>
      </xdr:nvSpPr>
      <xdr:spPr bwMode="auto">
        <a:xfrm>
          <a:off x="171450" y="54292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23</xdr:row>
      <xdr:rowOff>47625</xdr:rowOff>
    </xdr:from>
    <xdr:to>
      <xdr:col>0</xdr:col>
      <xdr:colOff>323850</xdr:colOff>
      <xdr:row>23</xdr:row>
      <xdr:rowOff>203200</xdr:rowOff>
    </xdr:to>
    <xdr:sp macro="" textlink="">
      <xdr:nvSpPr>
        <xdr:cNvPr id="11" name="Rectangle 10"/>
        <xdr:cNvSpPr/>
      </xdr:nvSpPr>
      <xdr:spPr bwMode="auto">
        <a:xfrm>
          <a:off x="171450" y="567690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24</xdr:row>
      <xdr:rowOff>28575</xdr:rowOff>
    </xdr:from>
    <xdr:to>
      <xdr:col>0</xdr:col>
      <xdr:colOff>333375</xdr:colOff>
      <xdr:row>24</xdr:row>
      <xdr:rowOff>184150</xdr:rowOff>
    </xdr:to>
    <xdr:sp macro="" textlink="">
      <xdr:nvSpPr>
        <xdr:cNvPr id="12" name="Rectangle 11"/>
        <xdr:cNvSpPr/>
      </xdr:nvSpPr>
      <xdr:spPr bwMode="auto">
        <a:xfrm>
          <a:off x="180975" y="5915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25</xdr:row>
      <xdr:rowOff>152400</xdr:rowOff>
    </xdr:from>
    <xdr:to>
      <xdr:col>0</xdr:col>
      <xdr:colOff>333375</xdr:colOff>
      <xdr:row>25</xdr:row>
      <xdr:rowOff>307975</xdr:rowOff>
    </xdr:to>
    <xdr:sp macro="" textlink="">
      <xdr:nvSpPr>
        <xdr:cNvPr id="13" name="Rectangle 12"/>
        <xdr:cNvSpPr/>
      </xdr:nvSpPr>
      <xdr:spPr bwMode="auto">
        <a:xfrm>
          <a:off x="180975" y="6296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27</xdr:row>
      <xdr:rowOff>85725</xdr:rowOff>
    </xdr:from>
    <xdr:to>
      <xdr:col>0</xdr:col>
      <xdr:colOff>333375</xdr:colOff>
      <xdr:row>27</xdr:row>
      <xdr:rowOff>241300</xdr:rowOff>
    </xdr:to>
    <xdr:sp macro="" textlink="">
      <xdr:nvSpPr>
        <xdr:cNvPr id="15" name="Rectangle 14"/>
        <xdr:cNvSpPr/>
      </xdr:nvSpPr>
      <xdr:spPr bwMode="auto">
        <a:xfrm>
          <a:off x="180975" y="67627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26</xdr:row>
      <xdr:rowOff>76200</xdr:rowOff>
    </xdr:from>
    <xdr:to>
      <xdr:col>0</xdr:col>
      <xdr:colOff>333375</xdr:colOff>
      <xdr:row>26</xdr:row>
      <xdr:rowOff>231775</xdr:rowOff>
    </xdr:to>
    <xdr:sp macro="" textlink="">
      <xdr:nvSpPr>
        <xdr:cNvPr id="16" name="Rectangle 15"/>
        <xdr:cNvSpPr/>
      </xdr:nvSpPr>
      <xdr:spPr bwMode="auto">
        <a:xfrm>
          <a:off x="180975" y="67532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370036</xdr:colOff>
      <xdr:row>61</xdr:row>
      <xdr:rowOff>123825</xdr:rowOff>
    </xdr:to>
    <xdr:pic>
      <xdr:nvPicPr>
        <xdr:cNvPr id="11" name="Picture 4"/>
        <xdr:cNvPicPr>
          <a:picLocks noChangeAspect="1" noChangeArrowheads="1"/>
        </xdr:cNvPicPr>
      </xdr:nvPicPr>
      <xdr:blipFill>
        <a:blip xmlns:r="http://schemas.openxmlformats.org/officeDocument/2006/relationships" r:embed="rId1"/>
        <a:srcRect/>
        <a:stretch>
          <a:fillRect/>
        </a:stretch>
      </xdr:blipFill>
      <xdr:spPr bwMode="auto">
        <a:xfrm>
          <a:off x="609600" y="485775"/>
          <a:ext cx="6466036" cy="9515475"/>
        </a:xfrm>
        <a:prstGeom prst="rect">
          <a:avLst/>
        </a:prstGeom>
        <a:noFill/>
      </xdr:spPr>
    </xdr:pic>
    <xdr:clientData/>
  </xdr:twoCellAnchor>
  <xdr:twoCellAnchor editAs="oneCell">
    <xdr:from>
      <xdr:col>1</xdr:col>
      <xdr:colOff>0</xdr:colOff>
      <xdr:row>63</xdr:row>
      <xdr:rowOff>0</xdr:rowOff>
    </xdr:from>
    <xdr:to>
      <xdr:col>13</xdr:col>
      <xdr:colOff>266700</xdr:colOff>
      <xdr:row>111</xdr:row>
      <xdr:rowOff>114300</xdr:rowOff>
    </xdr:to>
    <xdr:pic>
      <xdr:nvPicPr>
        <xdr:cNvPr id="13" name="Picture 6"/>
        <xdr:cNvPicPr>
          <a:picLocks noChangeAspect="1" noChangeArrowheads="1"/>
        </xdr:cNvPicPr>
      </xdr:nvPicPr>
      <xdr:blipFill>
        <a:blip xmlns:r="http://schemas.openxmlformats.org/officeDocument/2006/relationships" r:embed="rId2"/>
        <a:srcRect/>
        <a:stretch>
          <a:fillRect/>
        </a:stretch>
      </xdr:blipFill>
      <xdr:spPr bwMode="auto">
        <a:xfrm>
          <a:off x="609600" y="10201275"/>
          <a:ext cx="7581900" cy="78867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PA%20Benchmarking%202012%20-%20Section%202%20S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uise/AppData/Local/Temp/PRIF%202012%20BENCHMARKING%20QUESTIONNAIRE/BLANK/Old%20files/Section%202%20currencyconvers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uestionnaire"/>
      <sheetName val="Reference Unit Conversion"/>
      <sheetName val="Sample Scenarios"/>
    </sheetNames>
    <sheetDataSet>
      <sheetData sheetId="0">
        <row r="8">
          <cell r="M8" t="str">
            <v>Yes</v>
          </cell>
        </row>
        <row r="9">
          <cell r="M9" t="str">
            <v>No</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estionnaire"/>
      <sheetName val="Data Reliability"/>
      <sheetName val="Indicators"/>
      <sheetName val="Calculated Factors"/>
      <sheetName val="Reference Unit Conversion"/>
      <sheetName val="Currency Conversion"/>
      <sheetName val="Tariff Schedule and Taxes"/>
    </sheetNames>
    <sheetDataSet>
      <sheetData sheetId="0">
        <row r="8">
          <cell r="M8" t="str">
            <v>Yes</v>
          </cell>
        </row>
        <row r="9">
          <cell r="M9" t="str">
            <v>No</v>
          </cell>
        </row>
      </sheetData>
      <sheetData sheetId="1"/>
      <sheetData sheetId="2"/>
      <sheetData sheetId="3"/>
      <sheetData sheetId="4"/>
      <sheetData sheetId="5"/>
      <sheetData sheetId="6"/>
    </sheetDataSet>
  </externalBook>
</externalLink>
</file>

<file path=xl/revisions/_rels/revisionHeaders.xml.rels><?xml version="1.0" encoding="UTF-8" standalone="yes"?>
<Relationships xmlns="http://schemas.openxmlformats.org/package/2006/relationships"><Relationship Id="rId28" Type="http://schemas.openxmlformats.org/officeDocument/2006/relationships/revisionLog" Target="revisionLog1.xml"/><Relationship Id="rId27"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guid="{6062A7DF-E440-4070-A034-A3FF40D83301}" diskRevisions="1" revisionId="151" version="11">
  <header guid="{E095DC65-EDBE-4864-9647-367D156DB2BD}" dateTime="2017-03-16T11:12:55" maxSheetId="10" userName="KUAENGR" r:id="rId27">
    <sheetIdMap count="9">
      <sheetId val="1"/>
      <sheetId val="2"/>
      <sheetId val="3"/>
      <sheetId val="4"/>
      <sheetId val="5"/>
      <sheetId val="6"/>
      <sheetId val="7"/>
      <sheetId val="8"/>
      <sheetId val="9"/>
    </sheetIdMap>
  </header>
  <header guid="{6062A7DF-E440-4070-A034-A3FF40D83301}" dateTime="2017-06-23T10:35:25" maxSheetId="10" userName="Greg" r:id="rId28">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rdn rId="0" localSheetId="1" customView="1" name="Z_9FA5A1E5_0041_4CF2_96F3_E68C0E78B62E_.wvu.PrintArea" hidden="1" oldHidden="1">
    <formula>Questionnaire!$A$5:$K$57,Questionnaire!$A$72:$K$315</formula>
  </rdn>
  <rdn rId="0" localSheetId="1" customView="1" name="Z_9FA5A1E5_0041_4CF2_96F3_E68C0E78B62E_.wvu.Rows" hidden="1" oldHidden="1">
    <formula>Questionnaire!$237:$237,Questionnaire!$287:$289</formula>
  </rdn>
  <rdn rId="0" localSheetId="2" customView="1" name="Z_9FA5A1E5_0041_4CF2_96F3_E68C0E78B62E_.wvu.PrintArea" hidden="1" oldHidden="1">
    <formula>'Data Reliability'!$A$1:$E$64</formula>
  </rdn>
  <rdn rId="0" localSheetId="2" customView="1" name="Z_9FA5A1E5_0041_4CF2_96F3_E68C0E78B62E_.wvu.Rows" hidden="1" oldHidden="1">
    <formula>'Data Reliability'!$8:$8</formula>
  </rdn>
  <rdn rId="0" localSheetId="5" customView="1" name="Z_9FA5A1E5_0041_4CF2_96F3_E68C0E78B62E_.wvu.PrintArea" hidden="1" oldHidden="1">
    <formula>Indicators!$A$1:$I$116</formula>
  </rdn>
  <rdn rId="0" localSheetId="5" customView="1" name="Z_9FA5A1E5_0041_4CF2_96F3_E68C0E78B62E_.wvu.Cols" hidden="1" oldHidden="1">
    <formula>Indicators!$C:$C,Indicators!$G:$G</formula>
  </rdn>
  <rdn rId="0" localSheetId="6" customView="1" name="Z_9FA5A1E5_0041_4CF2_96F3_E68C0E78B62E_.wvu.PrintArea" hidden="1" oldHidden="1">
    <formula>'Calculated Factors'!$A$1:$I$62</formula>
  </rdn>
  <rdn rId="0" localSheetId="6" customView="1" name="Z_9FA5A1E5_0041_4CF2_96F3_E68C0E78B62E_.wvu.Cols" hidden="1" oldHidden="1">
    <formula>'Calculated Factors'!$D:$D</formula>
  </rdn>
  <rdn rId="0" localSheetId="7" customView="1" name="Z_9FA5A1E5_0041_4CF2_96F3_E68C0E78B62E_.wvu.PrintArea" hidden="1" oldHidden="1">
    <formula>'Reference Unit Conversion'!$B$2:$N$22</formula>
  </rdn>
  <rdn rId="0" localSheetId="9" customView="1" name="Z_9FA5A1E5_0041_4CF2_96F3_E68C0E78B62E_.wvu.PrintArea" hidden="1" oldHidden="1">
    <formula>'Currency Conversion'!$A$1:$J$41</formula>
  </rdn>
  <rcv guid="{9FA5A1E5-0041-4CF2-96F3-E68C0E78B62E}"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0876BBE-780D-4266-8AA2-8D4502B62343}" action="delete"/>
  <rdn rId="0" localSheetId="1" customView="1" name="Z_70876BBE_780D_4266_8AA2_8D4502B62343_.wvu.PrintArea" hidden="1" oldHidden="1">
    <formula>Questionnaire!$A$5:$K$57,Questionnaire!$A$72:$K$315</formula>
    <oldFormula>Questionnaire!$A$5:$K$57,Questionnaire!$A$72:$K$315</oldFormula>
  </rdn>
  <rdn rId="0" localSheetId="1" customView="1" name="Z_70876BBE_780D_4266_8AA2_8D4502B62343_.wvu.Rows" hidden="1" oldHidden="1">
    <formula>Questionnaire!$237:$237,Questionnaire!$287:$289</formula>
    <oldFormula>Questionnaire!$237:$237,Questionnaire!$287:$289</oldFormula>
  </rdn>
  <rdn rId="0" localSheetId="2" customView="1" name="Z_70876BBE_780D_4266_8AA2_8D4502B62343_.wvu.PrintArea" hidden="1" oldHidden="1">
    <formula>'Data Reliability'!$A$1:$E$64</formula>
    <oldFormula>'Data Reliability'!$A$1:$E$64</oldFormula>
  </rdn>
  <rdn rId="0" localSheetId="2" customView="1" name="Z_70876BBE_780D_4266_8AA2_8D4502B62343_.wvu.Rows" hidden="1" oldHidden="1">
    <formula>'Data Reliability'!$8:$8</formula>
    <oldFormula>'Data Reliability'!$8:$8</oldFormula>
  </rdn>
  <rdn rId="0" localSheetId="5" customView="1" name="Z_70876BBE_780D_4266_8AA2_8D4502B62343_.wvu.PrintArea" hidden="1" oldHidden="1">
    <formula>Indicators!$A$1:$I$116</formula>
    <oldFormula>Indicators!$A$1:$I$116</oldFormula>
  </rdn>
  <rdn rId="0" localSheetId="5" customView="1" name="Z_70876BBE_780D_4266_8AA2_8D4502B62343_.wvu.Cols" hidden="1" oldHidden="1">
    <formula>Indicators!$C:$C,Indicators!$G:$G</formula>
    <oldFormula>Indicators!$C:$C,Indicators!$G:$G</oldFormula>
  </rdn>
  <rdn rId="0" localSheetId="6" customView="1" name="Z_70876BBE_780D_4266_8AA2_8D4502B62343_.wvu.PrintArea" hidden="1" oldHidden="1">
    <formula>'Calculated Factors'!$A$1:$I$62</formula>
    <oldFormula>'Calculated Factors'!$A$1:$I$62</oldFormula>
  </rdn>
  <rdn rId="0" localSheetId="6" customView="1" name="Z_70876BBE_780D_4266_8AA2_8D4502B62343_.wvu.Cols" hidden="1" oldHidden="1">
    <formula>'Calculated Factors'!$D:$D</formula>
    <oldFormula>'Calculated Factors'!$D:$D</oldFormula>
  </rdn>
  <rdn rId="0" localSheetId="7" customView="1" name="Z_70876BBE_780D_4266_8AA2_8D4502B62343_.wvu.PrintArea" hidden="1" oldHidden="1">
    <formula>'Reference Unit Conversion'!$B$2:$N$22</formula>
    <oldFormula>'Reference Unit Conversion'!$B$2:$N$22</oldFormula>
  </rdn>
  <rdn rId="0" localSheetId="9" customView="1" name="Z_70876BBE_780D_4266_8AA2_8D4502B62343_.wvu.PrintArea" hidden="1" oldHidden="1">
    <formula>'Currency Conversion'!$A$1:$J$41</formula>
    <oldFormula>'Currency Conversion'!$A$1:$J$41</oldFormula>
  </rdn>
  <rcv guid="{70876BBE-780D-4266-8AA2-8D4502B62343}" action="add"/>
</revisions>
</file>

<file path=xl/revisions/userNames.xml><?xml version="1.0" encoding="utf-8"?>
<users xmlns="http://schemas.openxmlformats.org/spreadsheetml/2006/main" xmlns:r="http://schemas.openxmlformats.org/officeDocument/2006/relationships" count="1">
  <userInfo guid="{E095DC65-EDBE-4864-9647-367D156DB2BD}" name="KUAENGR" id="-120173115" dateTime="2017-06-23T10:27:2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pageSetUpPr fitToPage="1"/>
  </sheetPr>
  <dimension ref="A4:V315"/>
  <sheetViews>
    <sheetView view="pageBreakPreview" topLeftCell="B244" zoomScaleNormal="75" zoomScaleSheetLayoutView="100" zoomScalePageLayoutView="55" workbookViewId="0">
      <selection activeCell="G240" sqref="G240"/>
    </sheetView>
  </sheetViews>
  <sheetFormatPr defaultColWidth="4.140625" defaultRowHeight="12.75"/>
  <cols>
    <col min="1" max="1" width="6.85546875" style="77" customWidth="1"/>
    <col min="2" max="2" width="82.28515625" style="4" customWidth="1"/>
    <col min="3" max="3" width="15.28515625" style="72" customWidth="1"/>
    <col min="4" max="4" width="87.140625" style="23" customWidth="1"/>
    <col min="5" max="5" width="1.140625" style="6" customWidth="1"/>
    <col min="6" max="6" width="17.42578125" style="307" customWidth="1"/>
    <col min="7" max="9" width="16.140625" style="4" customWidth="1"/>
    <col min="10" max="10" width="16.140625" style="65" customWidth="1"/>
    <col min="11" max="11" width="54.140625" style="24" customWidth="1"/>
    <col min="12" max="12" width="12.85546875" customWidth="1"/>
    <col min="13" max="13" width="26.140625" customWidth="1"/>
    <col min="14" max="18" width="4.140625" customWidth="1"/>
  </cols>
  <sheetData>
    <row r="4" spans="1:13" ht="13.5" thickBot="1"/>
    <row r="5" spans="1:13">
      <c r="A5" s="282"/>
      <c r="B5" s="49"/>
      <c r="C5" s="55"/>
      <c r="D5" s="50"/>
      <c r="E5" s="51"/>
      <c r="F5" s="308"/>
      <c r="G5" s="49"/>
      <c r="H5" s="49"/>
      <c r="I5" s="49"/>
      <c r="J5" s="283"/>
      <c r="K5" s="284"/>
    </row>
    <row r="6" spans="1:13">
      <c r="A6" s="285"/>
      <c r="B6" s="11"/>
      <c r="C6" s="56"/>
      <c r="D6" s="26"/>
      <c r="E6" s="52"/>
      <c r="F6" s="309"/>
      <c r="G6" s="11"/>
      <c r="H6" s="11"/>
      <c r="I6" s="11"/>
      <c r="J6" s="273"/>
      <c r="K6" s="286"/>
    </row>
    <row r="7" spans="1:13" s="4" customFormat="1" ht="18" customHeight="1">
      <c r="A7" s="285"/>
      <c r="B7" s="11"/>
      <c r="C7" s="56"/>
      <c r="D7" s="26"/>
      <c r="E7" s="52"/>
      <c r="F7" s="309"/>
      <c r="G7" s="11"/>
      <c r="H7" s="11"/>
      <c r="I7" s="11"/>
      <c r="J7" s="273"/>
      <c r="K7" s="287"/>
    </row>
    <row r="8" spans="1:13" s="4" customFormat="1" ht="18" customHeight="1">
      <c r="A8" s="285"/>
      <c r="B8" s="11"/>
      <c r="C8" s="56"/>
      <c r="D8" s="26"/>
      <c r="E8" s="52"/>
      <c r="F8" s="309"/>
      <c r="G8" s="11"/>
      <c r="H8" s="11"/>
      <c r="I8" s="11"/>
      <c r="J8" s="273"/>
      <c r="K8" s="287"/>
      <c r="M8" s="253" t="s">
        <v>162</v>
      </c>
    </row>
    <row r="9" spans="1:13" s="1" customFormat="1" ht="18" customHeight="1">
      <c r="A9" s="288"/>
      <c r="B9" s="3"/>
      <c r="C9" s="252" t="s">
        <v>14</v>
      </c>
      <c r="D9" s="25"/>
      <c r="E9" s="34"/>
      <c r="F9" s="262"/>
      <c r="G9" s="14"/>
      <c r="H9" s="14"/>
      <c r="I9" s="14"/>
      <c r="J9" s="273"/>
      <c r="K9" s="289"/>
      <c r="M9" s="253" t="s">
        <v>163</v>
      </c>
    </row>
    <row r="10" spans="1:13" s="1" customFormat="1" ht="18" customHeight="1">
      <c r="A10" s="288"/>
      <c r="B10" s="3"/>
      <c r="C10" s="252" t="s">
        <v>41</v>
      </c>
      <c r="D10" s="25"/>
      <c r="E10" s="34"/>
      <c r="F10" s="262"/>
      <c r="G10" s="14"/>
      <c r="H10" s="14"/>
      <c r="I10" s="14"/>
      <c r="J10" s="273"/>
      <c r="K10" s="289"/>
      <c r="M10" s="254"/>
    </row>
    <row r="11" spans="1:13" s="1" customFormat="1" ht="18" customHeight="1">
      <c r="A11" s="288"/>
      <c r="B11" s="3"/>
      <c r="C11" s="252" t="s">
        <v>75</v>
      </c>
      <c r="D11" s="27"/>
      <c r="E11" s="27"/>
      <c r="F11" s="310"/>
      <c r="G11" s="27"/>
      <c r="H11" s="27"/>
      <c r="I11" s="27"/>
      <c r="J11" s="273"/>
      <c r="K11" s="289"/>
      <c r="M11" s="255" t="s">
        <v>83</v>
      </c>
    </row>
    <row r="12" spans="1:13" s="1" customFormat="1" ht="18" customHeight="1">
      <c r="A12" s="288"/>
      <c r="B12" s="3"/>
      <c r="C12" s="54"/>
      <c r="D12" s="37"/>
      <c r="E12" s="37"/>
      <c r="F12" s="311"/>
      <c r="G12" s="37"/>
      <c r="H12" s="37"/>
      <c r="I12" s="37"/>
      <c r="J12" s="273"/>
      <c r="K12" s="289"/>
      <c r="M12" s="255" t="s">
        <v>225</v>
      </c>
    </row>
    <row r="13" spans="1:13" s="1" customFormat="1" ht="18" customHeight="1">
      <c r="A13" s="288"/>
      <c r="B13" s="274"/>
      <c r="C13" s="275" t="s">
        <v>810</v>
      </c>
      <c r="D13" s="37"/>
      <c r="E13" s="37"/>
      <c r="F13" s="311"/>
      <c r="G13" s="37"/>
      <c r="H13" s="37"/>
      <c r="I13" s="37"/>
      <c r="J13" s="273"/>
      <c r="K13" s="289"/>
      <c r="M13" s="255" t="s">
        <v>226</v>
      </c>
    </row>
    <row r="14" spans="1:13" s="1" customFormat="1" ht="18" customHeight="1">
      <c r="A14" s="288"/>
      <c r="B14" s="274"/>
      <c r="C14" s="54"/>
      <c r="D14" s="37"/>
      <c r="E14" s="37"/>
      <c r="F14" s="311"/>
      <c r="G14" s="37"/>
      <c r="H14" s="37"/>
      <c r="I14" s="37"/>
      <c r="J14" s="273"/>
      <c r="K14" s="289"/>
      <c r="M14" s="254"/>
    </row>
    <row r="15" spans="1:13" s="1" customFormat="1" ht="18" customHeight="1">
      <c r="A15" s="288"/>
      <c r="B15" s="274"/>
      <c r="C15" s="54"/>
      <c r="D15" s="37"/>
      <c r="E15" s="37"/>
      <c r="F15" s="311"/>
      <c r="G15" s="37"/>
      <c r="H15" s="37"/>
      <c r="I15" s="37"/>
      <c r="J15" s="273"/>
      <c r="K15" s="289"/>
      <c r="M15" s="255" t="s">
        <v>96</v>
      </c>
    </row>
    <row r="16" spans="1:13" s="1" customFormat="1" ht="18" customHeight="1">
      <c r="A16" s="288"/>
      <c r="B16" s="274"/>
      <c r="C16" s="54"/>
      <c r="D16" s="37"/>
      <c r="E16" s="37"/>
      <c r="F16" s="311"/>
      <c r="G16" s="37"/>
      <c r="H16" s="37"/>
      <c r="I16" s="37"/>
      <c r="J16" s="273"/>
      <c r="K16" s="289"/>
      <c r="M16" s="255" t="s">
        <v>229</v>
      </c>
    </row>
    <row r="17" spans="1:21" s="1" customFormat="1" ht="18" customHeight="1">
      <c r="A17" s="288"/>
      <c r="B17" s="274"/>
      <c r="C17" s="54"/>
      <c r="D17" s="37"/>
      <c r="E17" s="37"/>
      <c r="F17" s="311"/>
      <c r="G17" s="37"/>
      <c r="H17" s="37"/>
      <c r="I17" s="37"/>
      <c r="J17" s="273"/>
      <c r="K17" s="289"/>
      <c r="M17" s="254"/>
    </row>
    <row r="18" spans="1:21" s="1" customFormat="1" ht="18" customHeight="1">
      <c r="A18" s="288"/>
      <c r="B18" s="73" t="s">
        <v>43</v>
      </c>
      <c r="C18" s="57"/>
      <c r="D18" s="25"/>
      <c r="E18" s="3"/>
      <c r="F18" s="262"/>
      <c r="G18" s="3"/>
      <c r="H18" s="3"/>
      <c r="I18" s="3"/>
      <c r="J18" s="273"/>
      <c r="K18" s="289"/>
      <c r="M18" s="255" t="s">
        <v>235</v>
      </c>
    </row>
    <row r="19" spans="1:21" s="79" customFormat="1" ht="29.25" customHeight="1">
      <c r="A19" s="288"/>
      <c r="B19" s="705" t="s">
        <v>788</v>
      </c>
      <c r="C19" s="705"/>
      <c r="D19" s="705"/>
      <c r="E19" s="705"/>
      <c r="F19" s="705"/>
      <c r="G19" s="705"/>
      <c r="H19" s="705"/>
      <c r="I19" s="705"/>
      <c r="J19" s="705"/>
      <c r="K19" s="706"/>
      <c r="M19" s="256" t="s">
        <v>236</v>
      </c>
    </row>
    <row r="20" spans="1:21" s="79" customFormat="1" ht="25.5" customHeight="1">
      <c r="A20" s="288"/>
      <c r="B20" s="724" t="s">
        <v>327</v>
      </c>
      <c r="C20" s="724"/>
      <c r="D20" s="724"/>
      <c r="E20" s="724"/>
      <c r="F20" s="724"/>
      <c r="G20" s="724"/>
      <c r="H20" s="724"/>
      <c r="I20" s="724"/>
      <c r="J20" s="724"/>
      <c r="K20" s="725"/>
      <c r="M20" s="256"/>
    </row>
    <row r="21" spans="1:21" s="79" customFormat="1" ht="69" customHeight="1">
      <c r="A21" s="288"/>
      <c r="B21" s="726" t="s">
        <v>789</v>
      </c>
      <c r="C21" s="726"/>
      <c r="D21" s="726"/>
      <c r="E21" s="726"/>
      <c r="F21" s="726"/>
      <c r="G21" s="726"/>
      <c r="H21" s="726"/>
      <c r="I21" s="726"/>
      <c r="J21" s="726"/>
      <c r="K21" s="727"/>
      <c r="M21" s="256" t="s">
        <v>65</v>
      </c>
    </row>
    <row r="22" spans="1:21" s="79" customFormat="1" ht="25.5" customHeight="1">
      <c r="A22" s="288"/>
      <c r="B22" s="722" t="s">
        <v>793</v>
      </c>
      <c r="C22" s="722"/>
      <c r="D22" s="722"/>
      <c r="E22" s="722"/>
      <c r="F22" s="722"/>
      <c r="G22" s="722"/>
      <c r="H22" s="722"/>
      <c r="I22" s="722"/>
      <c r="J22" s="722"/>
      <c r="K22" s="723"/>
      <c r="M22" s="256" t="s">
        <v>617</v>
      </c>
    </row>
    <row r="23" spans="1:21" s="79" customFormat="1" ht="26.25" customHeight="1">
      <c r="A23" s="288"/>
      <c r="B23" s="272" t="s">
        <v>790</v>
      </c>
      <c r="C23" s="272"/>
      <c r="D23" s="272"/>
      <c r="E23" s="272"/>
      <c r="F23" s="272"/>
      <c r="G23" s="272"/>
      <c r="H23" s="272"/>
      <c r="I23" s="272"/>
      <c r="J23" s="272"/>
      <c r="K23" s="290"/>
      <c r="M23" s="256"/>
    </row>
    <row r="24" spans="1:21" s="79" customFormat="1" ht="27" customHeight="1">
      <c r="A24" s="288"/>
      <c r="B24" s="722" t="s">
        <v>791</v>
      </c>
      <c r="C24" s="722"/>
      <c r="D24" s="722"/>
      <c r="E24" s="722"/>
      <c r="F24" s="722"/>
      <c r="G24" s="722"/>
      <c r="H24" s="722"/>
      <c r="I24" s="722"/>
      <c r="J24" s="722"/>
      <c r="K24" s="723"/>
      <c r="M24" s="257"/>
    </row>
    <row r="25" spans="1:21" s="84" customFormat="1" ht="27" customHeight="1">
      <c r="A25" s="285"/>
      <c r="B25" s="722" t="s">
        <v>792</v>
      </c>
      <c r="C25" s="722"/>
      <c r="D25" s="722"/>
      <c r="E25" s="722"/>
      <c r="F25" s="722"/>
      <c r="G25" s="722"/>
      <c r="H25" s="722"/>
      <c r="I25" s="722"/>
      <c r="J25" s="722"/>
      <c r="K25" s="723"/>
      <c r="M25" s="2" t="s">
        <v>607</v>
      </c>
    </row>
    <row r="26" spans="1:21" s="84" customFormat="1" ht="27.75" customHeight="1">
      <c r="A26" s="285"/>
      <c r="B26" s="705" t="s">
        <v>797</v>
      </c>
      <c r="C26" s="705"/>
      <c r="D26" s="705"/>
      <c r="E26" s="705"/>
      <c r="F26" s="705"/>
      <c r="G26" s="705"/>
      <c r="H26" s="705"/>
      <c r="I26" s="705"/>
      <c r="J26" s="705"/>
      <c r="K26" s="706"/>
      <c r="M26" s="2" t="s">
        <v>606</v>
      </c>
    </row>
    <row r="27" spans="1:21" ht="30.75" customHeight="1">
      <c r="B27" s="705" t="s">
        <v>796</v>
      </c>
      <c r="C27" s="705"/>
      <c r="D27" s="705"/>
      <c r="E27" s="705"/>
      <c r="F27" s="705"/>
      <c r="G27" s="705"/>
      <c r="H27" s="705"/>
      <c r="I27" s="705"/>
      <c r="J27" s="705"/>
      <c r="K27" s="706"/>
      <c r="M27" s="2" t="s">
        <v>625</v>
      </c>
    </row>
    <row r="28" spans="1:21" s="84" customFormat="1" ht="27" customHeight="1">
      <c r="A28" s="77"/>
      <c r="B28" s="705" t="s">
        <v>794</v>
      </c>
      <c r="C28" s="705"/>
      <c r="D28" s="705"/>
      <c r="E28" s="705"/>
      <c r="F28" s="705"/>
      <c r="G28" s="705"/>
      <c r="H28" s="705"/>
      <c r="I28" s="705"/>
      <c r="J28" s="705"/>
      <c r="K28" s="706"/>
      <c r="M28" s="2" t="s">
        <v>710</v>
      </c>
    </row>
    <row r="29" spans="1:21" ht="27" customHeight="1">
      <c r="B29" s="705" t="s">
        <v>795</v>
      </c>
      <c r="C29" s="705"/>
      <c r="D29" s="705"/>
      <c r="E29" s="705"/>
      <c r="F29" s="705"/>
      <c r="G29" s="705"/>
      <c r="H29" s="705"/>
      <c r="I29" s="705"/>
      <c r="J29" s="705"/>
      <c r="K29" s="706"/>
      <c r="M29" s="2" t="s">
        <v>627</v>
      </c>
    </row>
    <row r="30" spans="1:21" s="4" customFormat="1" ht="18" customHeight="1">
      <c r="A30" s="285"/>
      <c r="B30" s="53"/>
      <c r="C30" s="58"/>
      <c r="D30" s="25"/>
      <c r="E30" s="53"/>
      <c r="F30" s="312"/>
      <c r="G30" s="53"/>
      <c r="H30" s="53"/>
      <c r="I30" s="53"/>
      <c r="J30" s="62"/>
      <c r="K30" s="287"/>
      <c r="M30" s="2" t="s">
        <v>628</v>
      </c>
    </row>
    <row r="31" spans="1:21" s="4" customFormat="1" ht="18" customHeight="1">
      <c r="A31" s="285"/>
      <c r="B31" s="240" t="s">
        <v>326</v>
      </c>
      <c r="C31" s="86"/>
      <c r="D31" s="63"/>
      <c r="E31" s="87"/>
      <c r="F31" s="313"/>
      <c r="G31" s="64"/>
      <c r="H31" s="64"/>
      <c r="I31" s="64"/>
      <c r="J31" s="276"/>
      <c r="K31" s="75"/>
      <c r="L31" s="1"/>
      <c r="M31" s="2" t="s">
        <v>605</v>
      </c>
      <c r="N31" s="1"/>
      <c r="O31" s="1"/>
      <c r="P31" s="1"/>
      <c r="Q31" s="1"/>
      <c r="R31" s="1"/>
      <c r="S31" s="1"/>
      <c r="T31" s="1"/>
      <c r="U31" s="1"/>
    </row>
    <row r="32" spans="1:21" s="1" customFormat="1" ht="18" customHeight="1">
      <c r="A32" s="288"/>
      <c r="B32" s="277"/>
      <c r="C32" s="57"/>
      <c r="D32" s="25"/>
      <c r="E32" s="34"/>
      <c r="F32" s="314"/>
      <c r="G32" s="14"/>
      <c r="H32" s="14"/>
      <c r="I32" s="14"/>
      <c r="J32" s="62"/>
      <c r="K32" s="289"/>
      <c r="M32" s="2" t="s">
        <v>709</v>
      </c>
    </row>
    <row r="33" spans="1:22" s="1" customFormat="1" ht="18" customHeight="1">
      <c r="A33" s="288"/>
      <c r="B33" s="73" t="s">
        <v>42</v>
      </c>
      <c r="C33" s="708" t="s">
        <v>787</v>
      </c>
      <c r="D33" s="708"/>
      <c r="E33" s="708"/>
      <c r="F33" s="708"/>
      <c r="G33" s="708"/>
      <c r="H33" s="708"/>
      <c r="I33" s="708"/>
      <c r="J33" s="708"/>
      <c r="K33" s="709"/>
      <c r="M33" s="2" t="s">
        <v>711</v>
      </c>
    </row>
    <row r="34" spans="1:22" s="1" customFormat="1" ht="18" customHeight="1">
      <c r="A34" s="288"/>
      <c r="B34" s="73"/>
      <c r="C34" s="3"/>
      <c r="D34" s="76"/>
      <c r="E34" s="5"/>
      <c r="F34" s="262"/>
      <c r="G34" s="3"/>
      <c r="H34" s="3"/>
      <c r="I34" s="3"/>
      <c r="J34" s="70"/>
      <c r="K34" s="289"/>
      <c r="M34" s="2" t="s">
        <v>626</v>
      </c>
    </row>
    <row r="35" spans="1:22" s="1" customFormat="1" ht="18" customHeight="1">
      <c r="A35" s="288"/>
      <c r="B35" s="62" t="s">
        <v>206</v>
      </c>
      <c r="C35" s="714" t="s">
        <v>859</v>
      </c>
      <c r="D35" s="715"/>
      <c r="E35" s="10"/>
      <c r="F35" s="262"/>
      <c r="G35" s="3"/>
      <c r="H35" s="10"/>
      <c r="I35" s="10"/>
      <c r="J35" s="70"/>
      <c r="K35" s="289"/>
      <c r="M35" s="2" t="s">
        <v>712</v>
      </c>
      <c r="N35" s="15"/>
      <c r="O35" s="15"/>
      <c r="P35" s="15"/>
      <c r="Q35" s="15"/>
      <c r="R35" s="15"/>
      <c r="S35" s="15"/>
      <c r="T35" s="15"/>
      <c r="U35" s="15"/>
    </row>
    <row r="36" spans="1:22" s="1" customFormat="1" ht="18" customHeight="1">
      <c r="A36" s="288"/>
      <c r="B36" s="62" t="s">
        <v>205</v>
      </c>
      <c r="C36" s="714" t="s">
        <v>860</v>
      </c>
      <c r="D36" s="715"/>
      <c r="E36" s="5"/>
      <c r="F36" s="262"/>
      <c r="G36" s="3"/>
      <c r="H36" s="516"/>
      <c r="I36" s="3"/>
      <c r="J36" s="70"/>
      <c r="K36" s="289"/>
      <c r="N36" s="15"/>
      <c r="O36" s="15"/>
      <c r="P36" s="15"/>
      <c r="Q36" s="15"/>
      <c r="R36" s="15"/>
      <c r="S36" s="15"/>
      <c r="T36" s="15"/>
      <c r="U36" s="15"/>
    </row>
    <row r="37" spans="1:22" s="4" customFormat="1" ht="18" customHeight="1">
      <c r="A37" s="285"/>
      <c r="B37" s="62" t="s">
        <v>207</v>
      </c>
      <c r="C37" s="714" t="s">
        <v>861</v>
      </c>
      <c r="D37" s="715"/>
      <c r="E37" s="52"/>
      <c r="F37" s="309"/>
      <c r="G37" s="11"/>
      <c r="H37" s="11"/>
      <c r="I37" s="11"/>
      <c r="J37" s="273"/>
      <c r="K37" s="287"/>
    </row>
    <row r="38" spans="1:22" s="1" customFormat="1" ht="18" customHeight="1">
      <c r="A38" s="288"/>
      <c r="B38" s="62" t="s">
        <v>204</v>
      </c>
      <c r="C38" s="714" t="s">
        <v>862</v>
      </c>
      <c r="D38" s="715"/>
      <c r="E38" s="5"/>
      <c r="F38" s="262"/>
      <c r="G38" s="3"/>
      <c r="H38" s="3"/>
      <c r="I38" s="3"/>
      <c r="J38" s="68"/>
      <c r="K38" s="289"/>
      <c r="L38" s="3"/>
      <c r="M38" s="258"/>
      <c r="N38" s="17"/>
      <c r="O38" s="17"/>
      <c r="P38" s="15"/>
      <c r="Q38" s="15"/>
      <c r="R38" s="15"/>
      <c r="S38" s="15"/>
      <c r="T38" s="15"/>
      <c r="U38" s="15"/>
    </row>
    <row r="39" spans="1:22" s="1" customFormat="1" ht="18" customHeight="1">
      <c r="A39" s="288"/>
      <c r="B39" s="62" t="s">
        <v>209</v>
      </c>
      <c r="C39" s="716" t="s">
        <v>863</v>
      </c>
      <c r="D39" s="717"/>
      <c r="E39" s="5"/>
      <c r="F39" s="262"/>
      <c r="G39" s="3"/>
      <c r="H39" s="3"/>
      <c r="I39" s="3"/>
      <c r="J39" s="68"/>
      <c r="K39" s="289"/>
      <c r="L39" s="3"/>
      <c r="M39" s="258"/>
      <c r="N39" s="17"/>
      <c r="O39" s="17"/>
      <c r="P39" s="15"/>
      <c r="Q39" s="15"/>
      <c r="R39" s="15"/>
      <c r="S39" s="15"/>
      <c r="T39" s="15"/>
      <c r="U39" s="15"/>
    </row>
    <row r="40" spans="1:22" s="1" customFormat="1" ht="18" customHeight="1">
      <c r="A40" s="288"/>
      <c r="B40" s="62" t="s">
        <v>208</v>
      </c>
      <c r="C40" s="716" t="s">
        <v>864</v>
      </c>
      <c r="D40" s="717"/>
      <c r="E40" s="5"/>
      <c r="F40" s="262"/>
      <c r="G40" s="3"/>
      <c r="H40" s="3"/>
      <c r="I40" s="3"/>
      <c r="J40" s="278"/>
      <c r="K40" s="291"/>
      <c r="L40" s="12"/>
      <c r="M40" s="259"/>
      <c r="N40" s="18"/>
      <c r="O40" s="18"/>
      <c r="P40" s="19"/>
      <c r="Q40" s="16"/>
      <c r="R40" s="15"/>
      <c r="S40" s="15"/>
      <c r="T40" s="15"/>
      <c r="U40" s="15"/>
    </row>
    <row r="41" spans="1:22" s="1" customFormat="1" ht="18" customHeight="1">
      <c r="A41" s="288"/>
      <c r="B41" s="62" t="s">
        <v>210</v>
      </c>
      <c r="C41" s="718" t="s">
        <v>865</v>
      </c>
      <c r="D41" s="717"/>
      <c r="E41" s="5"/>
      <c r="F41" s="262"/>
      <c r="G41" s="73"/>
      <c r="H41" s="3"/>
      <c r="I41" s="3"/>
      <c r="J41" s="278"/>
      <c r="K41" s="292"/>
      <c r="L41" s="13"/>
      <c r="M41" s="258"/>
      <c r="N41" s="17"/>
      <c r="O41" s="17"/>
      <c r="P41" s="17"/>
      <c r="Q41" s="17"/>
      <c r="R41" s="17"/>
      <c r="S41" s="17"/>
      <c r="T41" s="17"/>
      <c r="U41" s="17"/>
      <c r="V41" s="3"/>
    </row>
    <row r="42" spans="1:22" s="1" customFormat="1" ht="18" customHeight="1">
      <c r="A42" s="288"/>
      <c r="B42" s="62" t="s">
        <v>211</v>
      </c>
      <c r="C42" s="718" t="s">
        <v>866</v>
      </c>
      <c r="D42" s="717"/>
      <c r="E42" s="5"/>
      <c r="F42" s="262"/>
      <c r="G42" s="3"/>
      <c r="H42" s="3"/>
      <c r="I42" s="3"/>
      <c r="J42" s="278"/>
      <c r="K42" s="292"/>
      <c r="L42" s="13"/>
      <c r="M42" s="260"/>
      <c r="N42" s="17"/>
      <c r="O42" s="20"/>
      <c r="P42" s="20"/>
      <c r="Q42" s="20"/>
      <c r="R42" s="17"/>
      <c r="S42" s="17"/>
      <c r="T42" s="17"/>
      <c r="U42" s="17"/>
      <c r="V42" s="3"/>
    </row>
    <row r="43" spans="1:22" s="1" customFormat="1" ht="18" customHeight="1">
      <c r="A43" s="288"/>
      <c r="B43" s="62" t="s">
        <v>212</v>
      </c>
      <c r="C43" s="719" t="s">
        <v>867</v>
      </c>
      <c r="D43" s="720"/>
      <c r="E43" s="5"/>
      <c r="F43" s="262"/>
      <c r="G43" s="3"/>
      <c r="H43" s="3"/>
      <c r="I43" s="3"/>
      <c r="J43" s="279"/>
      <c r="K43" s="292"/>
      <c r="L43" s="13"/>
      <c r="M43" s="260"/>
      <c r="N43" s="20"/>
      <c r="O43" s="20"/>
      <c r="P43" s="20"/>
      <c r="Q43" s="20"/>
      <c r="R43" s="17"/>
      <c r="S43" s="17"/>
      <c r="T43" s="17"/>
      <c r="U43" s="17"/>
      <c r="V43" s="3"/>
    </row>
    <row r="44" spans="1:22" s="1" customFormat="1" ht="18" customHeight="1">
      <c r="A44" s="288"/>
      <c r="B44" s="62" t="s">
        <v>213</v>
      </c>
      <c r="C44" s="714"/>
      <c r="D44" s="715"/>
      <c r="E44" s="5"/>
      <c r="F44" s="262"/>
      <c r="G44" s="3"/>
      <c r="H44" s="3"/>
      <c r="I44" s="3"/>
      <c r="J44" s="66"/>
      <c r="K44" s="292"/>
      <c r="L44" s="13"/>
      <c r="M44" s="260"/>
      <c r="N44" s="13"/>
      <c r="O44" s="13"/>
      <c r="P44" s="9"/>
      <c r="Q44" s="9"/>
      <c r="R44" s="8"/>
      <c r="S44" s="8"/>
      <c r="T44" s="8"/>
    </row>
    <row r="45" spans="1:22" s="1" customFormat="1" ht="18" customHeight="1">
      <c r="A45" s="288"/>
      <c r="B45" s="62"/>
      <c r="C45" s="3"/>
      <c r="D45" s="76"/>
      <c r="E45" s="5"/>
      <c r="F45" s="262"/>
      <c r="G45" s="3"/>
      <c r="H45" s="3"/>
      <c r="I45" s="3"/>
      <c r="J45" s="66"/>
      <c r="K45" s="292"/>
      <c r="L45" s="13"/>
      <c r="M45" s="260"/>
      <c r="N45" s="13"/>
      <c r="O45" s="13"/>
      <c r="P45" s="9"/>
      <c r="Q45" s="9"/>
      <c r="R45" s="8"/>
      <c r="S45" s="8"/>
      <c r="T45" s="8"/>
    </row>
    <row r="46" spans="1:22" s="1" customFormat="1" ht="18" customHeight="1">
      <c r="A46" s="288"/>
      <c r="B46" s="38" t="s">
        <v>228</v>
      </c>
      <c r="C46" s="59"/>
      <c r="D46" s="29"/>
      <c r="E46" s="5"/>
      <c r="F46" s="262"/>
      <c r="G46" s="3"/>
      <c r="H46" s="3"/>
      <c r="I46" s="3"/>
      <c r="J46" s="66"/>
      <c r="K46" s="292"/>
      <c r="L46" s="13"/>
      <c r="M46" s="260"/>
      <c r="N46" s="13"/>
      <c r="O46" s="13"/>
      <c r="P46" s="9"/>
      <c r="Q46" s="9"/>
      <c r="R46" s="8"/>
      <c r="S46" s="8"/>
      <c r="T46" s="8"/>
    </row>
    <row r="47" spans="1:22" s="1" customFormat="1" ht="18" customHeight="1">
      <c r="A47" s="288"/>
      <c r="B47" s="710" t="s">
        <v>202</v>
      </c>
      <c r="C47" s="710"/>
      <c r="D47" s="696">
        <v>41913</v>
      </c>
      <c r="E47" s="3"/>
      <c r="F47" s="315"/>
      <c r="G47" s="261"/>
      <c r="H47" s="3"/>
      <c r="I47" s="3"/>
      <c r="J47" s="66"/>
      <c r="K47" s="292"/>
      <c r="L47" s="13"/>
      <c r="M47" s="260"/>
      <c r="N47" s="13"/>
      <c r="O47" s="13"/>
      <c r="P47" s="9"/>
      <c r="Q47" s="9"/>
      <c r="R47" s="8"/>
      <c r="S47" s="8"/>
      <c r="T47" s="8"/>
    </row>
    <row r="48" spans="1:22" s="1" customFormat="1" ht="18" customHeight="1">
      <c r="A48" s="288"/>
      <c r="B48" s="710" t="s">
        <v>203</v>
      </c>
      <c r="C48" s="710"/>
      <c r="D48" s="696">
        <v>42277</v>
      </c>
      <c r="E48" s="3"/>
      <c r="F48" s="262"/>
      <c r="G48" s="3"/>
      <c r="H48" s="3"/>
      <c r="I48" s="3"/>
      <c r="J48" s="66"/>
      <c r="K48" s="292"/>
      <c r="L48" s="13"/>
      <c r="M48" s="260"/>
      <c r="N48" s="13"/>
      <c r="O48" s="13"/>
      <c r="P48" s="9"/>
      <c r="Q48" s="9"/>
      <c r="R48" s="8"/>
      <c r="S48" s="8"/>
      <c r="T48" s="8"/>
    </row>
    <row r="49" spans="1:20" s="1" customFormat="1" ht="18" customHeight="1">
      <c r="A49" s="288"/>
      <c r="B49" s="280"/>
      <c r="C49" s="262"/>
      <c r="D49" s="76"/>
      <c r="E49" s="3"/>
      <c r="F49" s="262"/>
      <c r="G49" s="3"/>
      <c r="H49" s="3"/>
      <c r="I49" s="3"/>
      <c r="J49" s="66"/>
      <c r="K49" s="292"/>
      <c r="L49" s="13"/>
      <c r="M49" s="260"/>
      <c r="N49" s="13"/>
      <c r="O49" s="13"/>
      <c r="P49" s="9"/>
      <c r="Q49" s="9"/>
      <c r="R49" s="8"/>
      <c r="S49" s="8"/>
      <c r="T49" s="8"/>
    </row>
    <row r="50" spans="1:20" s="1" customFormat="1" ht="18" customHeight="1">
      <c r="A50" s="288"/>
      <c r="B50" s="281"/>
      <c r="C50" s="262"/>
      <c r="D50" s="76"/>
      <c r="E50" s="3"/>
      <c r="F50" s="262"/>
      <c r="G50" s="3"/>
      <c r="H50" s="3"/>
      <c r="I50" s="3"/>
      <c r="J50" s="66"/>
      <c r="K50" s="292"/>
      <c r="L50" s="13"/>
      <c r="M50" s="260"/>
      <c r="N50" s="13"/>
      <c r="O50" s="13"/>
      <c r="P50" s="9"/>
      <c r="Q50" s="9"/>
      <c r="R50" s="8"/>
      <c r="S50" s="8"/>
      <c r="T50" s="8"/>
    </row>
    <row r="51" spans="1:20" s="1" customFormat="1" ht="18" customHeight="1">
      <c r="A51" s="288"/>
      <c r="B51" s="710" t="s">
        <v>185</v>
      </c>
      <c r="C51" s="710"/>
      <c r="D51" s="505">
        <v>42543</v>
      </c>
      <c r="E51" s="3"/>
      <c r="F51" s="262"/>
      <c r="G51" s="3"/>
      <c r="H51" s="3"/>
      <c r="I51" s="3"/>
      <c r="J51" s="66"/>
      <c r="K51" s="292"/>
      <c r="L51" s="13"/>
      <c r="M51" s="260"/>
      <c r="N51" s="13"/>
      <c r="O51" s="13"/>
      <c r="P51" s="9"/>
      <c r="Q51" s="9"/>
      <c r="R51" s="8"/>
      <c r="S51" s="8"/>
      <c r="T51" s="8"/>
    </row>
    <row r="52" spans="1:20" s="1" customFormat="1" ht="18" customHeight="1">
      <c r="A52" s="288"/>
      <c r="B52" s="280"/>
      <c r="C52" s="262"/>
      <c r="D52" s="76"/>
      <c r="E52" s="3"/>
      <c r="F52" s="262"/>
      <c r="G52" s="3"/>
      <c r="H52" s="3"/>
      <c r="I52" s="3"/>
      <c r="J52" s="66"/>
      <c r="K52" s="292"/>
      <c r="L52" s="13"/>
      <c r="M52" s="298">
        <v>41456</v>
      </c>
      <c r="N52" s="13"/>
      <c r="O52" s="13"/>
      <c r="P52" s="9"/>
      <c r="Q52" s="9"/>
      <c r="R52" s="8"/>
      <c r="S52" s="8"/>
      <c r="T52" s="8"/>
    </row>
    <row r="53" spans="1:20" s="1" customFormat="1" ht="18" customHeight="1">
      <c r="A53" s="288"/>
      <c r="B53" s="280"/>
      <c r="C53" s="262"/>
      <c r="D53" s="76"/>
      <c r="E53" s="3"/>
      <c r="F53" s="262"/>
      <c r="G53" s="3"/>
      <c r="H53" s="3"/>
      <c r="I53" s="3"/>
      <c r="J53" s="66"/>
      <c r="K53" s="292"/>
      <c r="L53" s="13"/>
      <c r="M53" s="298">
        <v>41548</v>
      </c>
      <c r="N53" s="13"/>
      <c r="O53" s="13"/>
      <c r="P53" s="9"/>
      <c r="Q53" s="9"/>
      <c r="R53" s="8"/>
      <c r="S53" s="8"/>
      <c r="T53" s="8"/>
    </row>
    <row r="54" spans="1:20" s="1" customFormat="1" ht="18" customHeight="1">
      <c r="A54" s="288"/>
      <c r="B54" s="710" t="s">
        <v>160</v>
      </c>
      <c r="C54" s="710"/>
      <c r="D54" s="506" t="s">
        <v>605</v>
      </c>
      <c r="E54" s="3"/>
      <c r="F54" s="721" t="s">
        <v>164</v>
      </c>
      <c r="G54" s="721"/>
      <c r="H54" s="721"/>
      <c r="I54" s="721"/>
      <c r="J54" s="66"/>
      <c r="K54" s="292"/>
      <c r="L54" s="13"/>
      <c r="M54" s="298">
        <v>41640</v>
      </c>
      <c r="N54" s="13"/>
      <c r="O54" s="13"/>
      <c r="P54" s="9"/>
      <c r="Q54" s="9"/>
      <c r="R54" s="8"/>
      <c r="S54" s="8"/>
      <c r="T54" s="8"/>
    </row>
    <row r="55" spans="1:20" s="1" customFormat="1" ht="18" customHeight="1" thickBot="1">
      <c r="A55" s="293"/>
      <c r="B55" s="294"/>
      <c r="C55" s="36"/>
      <c r="D55" s="410"/>
      <c r="E55" s="36"/>
      <c r="F55" s="316"/>
      <c r="G55" s="295"/>
      <c r="H55" s="36"/>
      <c r="I55" s="36"/>
      <c r="J55" s="296"/>
      <c r="K55" s="297"/>
      <c r="L55" s="13"/>
      <c r="M55" s="299"/>
      <c r="N55" s="13"/>
      <c r="O55" s="13"/>
      <c r="P55" s="9"/>
      <c r="Q55" s="9"/>
      <c r="R55" s="8"/>
      <c r="S55" s="8"/>
      <c r="T55" s="8"/>
    </row>
    <row r="56" spans="1:20" s="1" customFormat="1" ht="18" customHeight="1">
      <c r="A56" s="78"/>
      <c r="B56" s="21"/>
      <c r="C56" s="60"/>
      <c r="D56" s="29"/>
      <c r="E56" s="3"/>
      <c r="F56" s="317"/>
      <c r="G56" s="3"/>
      <c r="H56" s="3"/>
      <c r="I56" s="3"/>
      <c r="J56" s="66"/>
      <c r="K56" s="85"/>
      <c r="L56" s="13"/>
      <c r="M56" s="298">
        <v>41820</v>
      </c>
      <c r="N56" s="13"/>
      <c r="O56" s="13"/>
      <c r="P56" s="9"/>
      <c r="Q56" s="9"/>
      <c r="R56" s="8"/>
      <c r="S56" s="8"/>
      <c r="T56" s="8"/>
    </row>
    <row r="57" spans="1:20" s="1" customFormat="1" ht="18" customHeight="1">
      <c r="A57" s="78"/>
      <c r="B57" s="21"/>
      <c r="C57" s="60"/>
      <c r="D57" s="29"/>
      <c r="E57" s="5"/>
      <c r="F57" s="262"/>
      <c r="G57" s="3"/>
      <c r="H57" s="3"/>
      <c r="I57" s="3"/>
      <c r="J57" s="66"/>
      <c r="K57" s="85"/>
      <c r="L57" s="13"/>
      <c r="M57" s="298">
        <v>41912</v>
      </c>
      <c r="N57" s="13"/>
      <c r="O57" s="13"/>
      <c r="P57" s="9"/>
      <c r="Q57" s="9"/>
      <c r="R57" s="8"/>
      <c r="S57" s="8"/>
      <c r="T57" s="8"/>
    </row>
    <row r="58" spans="1:20" s="1" customFormat="1" ht="18" customHeight="1">
      <c r="A58" s="78"/>
      <c r="B58" s="21"/>
      <c r="C58" s="60"/>
      <c r="D58" s="29"/>
      <c r="E58" s="5"/>
      <c r="F58" s="262"/>
      <c r="G58" s="3"/>
      <c r="H58" s="3"/>
      <c r="I58" s="3"/>
      <c r="J58" s="66"/>
      <c r="K58" s="85"/>
      <c r="L58" s="13"/>
      <c r="M58" s="298">
        <v>42004</v>
      </c>
      <c r="N58" s="13"/>
      <c r="O58" s="13"/>
      <c r="P58" s="9"/>
      <c r="Q58" s="9"/>
      <c r="R58" s="8"/>
      <c r="S58" s="8"/>
      <c r="T58" s="8"/>
    </row>
    <row r="59" spans="1:20" s="1" customFormat="1" ht="18" customHeight="1">
      <c r="A59" s="78"/>
      <c r="B59" s="21"/>
      <c r="C59" s="60"/>
      <c r="D59" s="29"/>
      <c r="E59" s="5"/>
      <c r="F59" s="262"/>
      <c r="G59" s="3"/>
      <c r="H59" s="3"/>
      <c r="I59" s="3"/>
      <c r="J59" s="66"/>
      <c r="K59" s="85"/>
      <c r="L59" s="13"/>
      <c r="M59" s="251"/>
      <c r="N59" s="13"/>
      <c r="O59" s="13"/>
      <c r="P59" s="9"/>
      <c r="Q59" s="9"/>
      <c r="R59" s="8"/>
      <c r="S59" s="8"/>
      <c r="T59" s="8"/>
    </row>
    <row r="60" spans="1:20" s="1" customFormat="1" ht="18" customHeight="1">
      <c r="A60" s="78"/>
      <c r="B60" s="21"/>
      <c r="C60" s="3"/>
      <c r="D60" s="76"/>
      <c r="E60" s="3"/>
      <c r="F60" s="262"/>
      <c r="G60" s="3"/>
      <c r="H60" s="3"/>
      <c r="I60" s="3"/>
      <c r="J60" s="66"/>
      <c r="K60" s="85"/>
      <c r="L60" s="13"/>
      <c r="M60" s="13"/>
      <c r="N60" s="13"/>
      <c r="O60" s="13"/>
      <c r="P60" s="9"/>
      <c r="Q60" s="9"/>
      <c r="R60" s="8"/>
      <c r="S60" s="8"/>
      <c r="T60" s="8"/>
    </row>
    <row r="61" spans="1:20" s="1" customFormat="1" ht="18" customHeight="1">
      <c r="A61" s="78"/>
      <c r="B61" s="21"/>
      <c r="C61" s="3"/>
      <c r="D61" s="76"/>
      <c r="E61" s="3"/>
      <c r="F61" s="262"/>
      <c r="G61" s="3"/>
      <c r="H61" s="3"/>
      <c r="I61" s="3"/>
      <c r="J61" s="66"/>
      <c r="K61" s="85"/>
      <c r="L61" s="13"/>
      <c r="M61" s="13"/>
      <c r="N61" s="13"/>
      <c r="O61" s="13"/>
      <c r="P61" s="9"/>
      <c r="Q61" s="9"/>
      <c r="R61" s="8"/>
      <c r="S61" s="8"/>
      <c r="T61" s="8"/>
    </row>
    <row r="62" spans="1:20" s="1" customFormat="1" ht="18" customHeight="1">
      <c r="A62" s="78"/>
      <c r="B62" s="21"/>
      <c r="C62" s="3"/>
      <c r="D62" s="76"/>
      <c r="E62" s="3"/>
      <c r="F62" s="262"/>
      <c r="G62" s="3"/>
      <c r="H62" s="3"/>
      <c r="I62" s="3"/>
      <c r="J62" s="66"/>
      <c r="K62" s="85"/>
      <c r="L62" s="13"/>
      <c r="M62" s="13"/>
      <c r="N62" s="13"/>
      <c r="O62" s="13"/>
      <c r="P62" s="9"/>
      <c r="Q62" s="9"/>
      <c r="R62" s="8"/>
      <c r="S62" s="8"/>
      <c r="T62" s="8"/>
    </row>
    <row r="63" spans="1:20" s="1" customFormat="1" ht="18" customHeight="1">
      <c r="A63" s="78"/>
      <c r="B63" s="21"/>
      <c r="C63" s="3"/>
      <c r="D63" s="76"/>
      <c r="E63" s="3"/>
      <c r="F63" s="262"/>
      <c r="G63" s="3"/>
      <c r="H63" s="3"/>
      <c r="I63" s="3"/>
      <c r="J63" s="66"/>
      <c r="K63" s="85"/>
      <c r="L63" s="13"/>
      <c r="M63" s="13"/>
      <c r="N63" s="13"/>
      <c r="O63" s="13"/>
      <c r="P63" s="9"/>
      <c r="Q63" s="9"/>
      <c r="R63" s="8"/>
      <c r="S63" s="8"/>
      <c r="T63" s="8"/>
    </row>
    <row r="64" spans="1:20" s="1" customFormat="1" ht="18" customHeight="1">
      <c r="A64" s="78"/>
      <c r="B64" s="21"/>
      <c r="C64" s="3"/>
      <c r="D64" s="76"/>
      <c r="E64" s="3"/>
      <c r="F64" s="262"/>
      <c r="G64" s="3"/>
      <c r="H64" s="3"/>
      <c r="I64" s="3"/>
      <c r="J64" s="66"/>
      <c r="K64" s="85"/>
      <c r="L64" s="13"/>
      <c r="M64" s="13"/>
      <c r="N64" s="13"/>
      <c r="O64" s="13"/>
      <c r="P64" s="9"/>
      <c r="Q64" s="9"/>
      <c r="R64" s="8"/>
      <c r="S64" s="8"/>
      <c r="T64" s="8"/>
    </row>
    <row r="65" spans="1:21" s="1" customFormat="1" ht="18" customHeight="1">
      <c r="A65" s="78"/>
      <c r="B65" s="21"/>
      <c r="C65" s="3"/>
      <c r="D65" s="76"/>
      <c r="E65" s="3"/>
      <c r="F65" s="262"/>
      <c r="G65" s="3"/>
      <c r="H65" s="3"/>
      <c r="I65" s="3"/>
      <c r="J65" s="66"/>
      <c r="K65" s="85"/>
      <c r="L65" s="13"/>
      <c r="M65" s="13"/>
      <c r="N65" s="13"/>
      <c r="O65" s="13"/>
      <c r="P65" s="9"/>
      <c r="Q65" s="9"/>
      <c r="R65" s="8"/>
      <c r="S65" s="8"/>
      <c r="T65" s="8"/>
    </row>
    <row r="66" spans="1:21" s="1" customFormat="1" ht="18" customHeight="1">
      <c r="A66" s="78"/>
      <c r="B66" s="21"/>
      <c r="C66" s="3"/>
      <c r="D66" s="76"/>
      <c r="E66" s="3"/>
      <c r="F66" s="262"/>
      <c r="G66" s="3"/>
      <c r="H66" s="3"/>
      <c r="I66" s="3"/>
      <c r="J66" s="66"/>
      <c r="K66" s="85"/>
      <c r="L66" s="13"/>
      <c r="M66" s="13"/>
      <c r="N66" s="13"/>
      <c r="O66" s="13"/>
      <c r="P66" s="9"/>
      <c r="Q66" s="9"/>
      <c r="R66" s="8"/>
      <c r="S66" s="8"/>
      <c r="T66" s="8"/>
    </row>
    <row r="67" spans="1:21" s="1" customFormat="1" ht="18" customHeight="1">
      <c r="A67" s="78"/>
      <c r="B67" s="21"/>
      <c r="C67" s="3"/>
      <c r="D67" s="76"/>
      <c r="E67" s="3"/>
      <c r="F67" s="262"/>
      <c r="G67" s="3"/>
      <c r="H67" s="3"/>
      <c r="I67" s="3"/>
      <c r="J67" s="66"/>
      <c r="K67" s="85"/>
      <c r="L67" s="13"/>
      <c r="M67" s="13"/>
      <c r="N67" s="13"/>
      <c r="O67" s="13"/>
      <c r="P67" s="9"/>
      <c r="Q67" s="9"/>
      <c r="R67" s="8"/>
      <c r="S67" s="8"/>
      <c r="T67" s="8"/>
    </row>
    <row r="68" spans="1:21" s="1" customFormat="1" ht="18" customHeight="1">
      <c r="A68" s="78"/>
      <c r="B68" s="21"/>
      <c r="C68" s="3"/>
      <c r="D68" s="76"/>
      <c r="E68" s="3"/>
      <c r="F68" s="262"/>
      <c r="G68" s="3"/>
      <c r="H68" s="3"/>
      <c r="I68" s="3"/>
      <c r="J68" s="66"/>
      <c r="K68" s="85"/>
      <c r="L68" s="13"/>
      <c r="M68" s="13"/>
      <c r="N68" s="13"/>
      <c r="O68" s="13"/>
      <c r="P68" s="9"/>
      <c r="Q68" s="9"/>
      <c r="R68" s="8"/>
      <c r="S68" s="8"/>
      <c r="T68" s="8"/>
    </row>
    <row r="69" spans="1:21" s="1" customFormat="1" ht="18" customHeight="1">
      <c r="A69" s="514"/>
      <c r="B69" s="21"/>
      <c r="C69" s="3"/>
      <c r="D69" s="76"/>
      <c r="E69" s="3"/>
      <c r="F69" s="262"/>
      <c r="G69" s="3"/>
      <c r="H69" s="3"/>
      <c r="I69" s="3"/>
      <c r="J69" s="66"/>
      <c r="K69" s="85"/>
      <c r="L69" s="13"/>
      <c r="M69" s="13"/>
      <c r="N69" s="13"/>
      <c r="O69" s="13"/>
      <c r="P69" s="9"/>
      <c r="Q69" s="9"/>
      <c r="R69" s="8"/>
      <c r="S69" s="8"/>
      <c r="T69" s="8"/>
    </row>
    <row r="70" spans="1:21" s="1" customFormat="1" ht="18" customHeight="1">
      <c r="A70" s="78"/>
      <c r="B70" s="21"/>
      <c r="C70" s="3"/>
      <c r="D70" s="76"/>
      <c r="E70" s="3"/>
      <c r="F70" s="262"/>
      <c r="G70" s="3"/>
      <c r="H70" s="3"/>
      <c r="I70" s="3"/>
      <c r="J70" s="66"/>
      <c r="K70" s="85"/>
      <c r="L70" s="13"/>
      <c r="M70" s="13"/>
      <c r="N70" s="13"/>
      <c r="O70" s="13"/>
      <c r="P70" s="9"/>
      <c r="Q70" s="9"/>
      <c r="R70" s="8"/>
      <c r="S70" s="8"/>
      <c r="T70" s="8"/>
    </row>
    <row r="71" spans="1:21" s="1" customFormat="1" ht="18" customHeight="1">
      <c r="A71" s="81"/>
      <c r="B71" s="21"/>
      <c r="C71" s="3"/>
      <c r="D71" s="76"/>
      <c r="E71" s="3"/>
      <c r="F71" s="262"/>
      <c r="G71" s="3"/>
      <c r="H71" s="3"/>
      <c r="I71" s="3"/>
      <c r="J71" s="66"/>
      <c r="K71" s="85"/>
      <c r="L71" s="13"/>
      <c r="M71" s="13"/>
      <c r="N71" s="13"/>
      <c r="O71" s="13"/>
      <c r="P71" s="9"/>
      <c r="Q71" s="9"/>
      <c r="R71" s="8"/>
      <c r="S71" s="8"/>
      <c r="T71" s="8"/>
    </row>
    <row r="72" spans="1:21" s="1" customFormat="1" ht="18" customHeight="1">
      <c r="A72" s="111" t="s">
        <v>196</v>
      </c>
      <c r="B72" s="112" t="s">
        <v>331</v>
      </c>
      <c r="C72" s="113" t="s">
        <v>15</v>
      </c>
      <c r="D72" s="114" t="s">
        <v>165</v>
      </c>
      <c r="E72" s="115"/>
      <c r="F72" s="318" t="s">
        <v>330</v>
      </c>
      <c r="G72" s="116"/>
      <c r="H72" s="116"/>
      <c r="I72" s="116"/>
      <c r="J72" s="117"/>
      <c r="K72" s="118" t="s">
        <v>76</v>
      </c>
      <c r="L72" s="40"/>
      <c r="M72" s="40"/>
      <c r="N72" s="40"/>
      <c r="O72" s="40"/>
      <c r="P72" s="41"/>
      <c r="Q72" s="41"/>
    </row>
    <row r="73" spans="1:21" s="1" customFormat="1" ht="18.75" customHeight="1">
      <c r="A73" s="119"/>
      <c r="B73" s="38"/>
      <c r="C73" s="61"/>
      <c r="D73" s="42"/>
      <c r="E73" s="5"/>
      <c r="F73" s="262"/>
      <c r="G73" s="3"/>
      <c r="H73" s="3"/>
      <c r="I73" s="3"/>
      <c r="J73" s="62"/>
      <c r="K73" s="120"/>
      <c r="L73" s="40"/>
      <c r="M73" s="40"/>
      <c r="N73" s="40"/>
      <c r="O73" s="40"/>
      <c r="P73" s="41"/>
      <c r="Q73" s="41"/>
    </row>
    <row r="74" spans="1:21" s="363" customFormat="1" ht="19.5" customHeight="1">
      <c r="A74" s="389"/>
      <c r="B74" s="355" t="s">
        <v>109</v>
      </c>
      <c r="C74" s="356"/>
      <c r="D74" s="357"/>
      <c r="E74" s="358"/>
      <c r="F74" s="387" t="s">
        <v>231</v>
      </c>
      <c r="G74" s="359"/>
      <c r="H74" s="359"/>
      <c r="I74" s="359"/>
      <c r="J74" s="388"/>
      <c r="K74" s="361"/>
      <c r="L74" s="362"/>
      <c r="M74" s="362"/>
      <c r="N74" s="362"/>
      <c r="O74" s="362"/>
      <c r="P74" s="362"/>
      <c r="Q74" s="362"/>
      <c r="R74" s="362"/>
      <c r="S74" s="362"/>
      <c r="T74" s="362"/>
      <c r="U74" s="362"/>
    </row>
    <row r="75" spans="1:21" s="22" customFormat="1" ht="7.5" customHeight="1">
      <c r="A75" s="132"/>
      <c r="B75" s="88"/>
      <c r="C75" s="89"/>
      <c r="D75" s="74"/>
      <c r="E75" s="90"/>
      <c r="F75" s="319"/>
      <c r="G75" s="28"/>
      <c r="H75" s="28"/>
      <c r="I75" s="28"/>
      <c r="J75" s="91"/>
      <c r="K75" s="122"/>
      <c r="L75" s="30"/>
      <c r="M75" s="30"/>
      <c r="N75" s="30"/>
      <c r="O75" s="30"/>
      <c r="P75" s="30"/>
      <c r="Q75" s="30"/>
      <c r="R75" s="30"/>
      <c r="S75" s="30"/>
      <c r="T75" s="30"/>
      <c r="U75" s="30"/>
    </row>
    <row r="76" spans="1:21" s="4" customFormat="1" ht="14.1" customHeight="1">
      <c r="A76" s="119"/>
      <c r="B76" s="3"/>
      <c r="C76" s="57"/>
      <c r="D76" s="25"/>
      <c r="E76" s="25"/>
      <c r="F76" s="312" t="s">
        <v>218</v>
      </c>
      <c r="G76" s="25" t="s">
        <v>219</v>
      </c>
      <c r="H76" s="25" t="s">
        <v>220</v>
      </c>
      <c r="I76" s="25" t="s">
        <v>221</v>
      </c>
      <c r="J76" s="92"/>
      <c r="K76" s="123"/>
      <c r="L76" s="1"/>
      <c r="M76" s="1"/>
      <c r="N76" s="1"/>
      <c r="O76" s="1"/>
      <c r="P76" s="1"/>
      <c r="Q76" s="1"/>
      <c r="R76" s="1"/>
      <c r="S76" s="1"/>
      <c r="T76" s="1"/>
      <c r="U76" s="1"/>
    </row>
    <row r="77" spans="1:21" s="4" customFormat="1" ht="18" customHeight="1">
      <c r="A77" s="119">
        <v>1</v>
      </c>
      <c r="B77" s="93" t="s">
        <v>222</v>
      </c>
      <c r="C77" s="94"/>
      <c r="D77" s="25" t="s">
        <v>179</v>
      </c>
      <c r="E77" s="5"/>
      <c r="F77" s="578"/>
      <c r="G77" s="579"/>
      <c r="H77" s="579"/>
      <c r="I77" s="579"/>
      <c r="J77" s="540"/>
      <c r="K77" s="507"/>
      <c r="L77" s="1"/>
      <c r="M77" s="43"/>
      <c r="N77" s="43"/>
      <c r="O77" s="43"/>
      <c r="P77" s="43"/>
      <c r="Q77" s="43"/>
      <c r="R77" s="43"/>
      <c r="S77" s="43"/>
      <c r="T77" s="43"/>
      <c r="U77" s="43"/>
    </row>
    <row r="78" spans="1:21" s="4" customFormat="1" ht="18" customHeight="1">
      <c r="A78" s="119">
        <v>2</v>
      </c>
      <c r="B78" s="93" t="s">
        <v>84</v>
      </c>
      <c r="C78" s="94" t="s">
        <v>18</v>
      </c>
      <c r="D78" s="25" t="s">
        <v>237</v>
      </c>
      <c r="E78" s="5"/>
      <c r="F78" s="695">
        <v>5270</v>
      </c>
      <c r="G78" s="580" t="s">
        <v>857</v>
      </c>
      <c r="H78" s="580" t="s">
        <v>857</v>
      </c>
      <c r="I78" s="580" t="s">
        <v>857</v>
      </c>
      <c r="J78" s="306" t="str">
        <f>C78</f>
        <v>MWh</v>
      </c>
      <c r="K78" s="507"/>
      <c r="L78" s="1"/>
      <c r="M78" s="43"/>
      <c r="N78" s="43"/>
      <c r="O78" s="43"/>
      <c r="P78" s="43"/>
      <c r="Q78" s="43"/>
      <c r="R78" s="43"/>
      <c r="S78" s="43"/>
      <c r="T78" s="43"/>
      <c r="U78" s="43"/>
    </row>
    <row r="79" spans="1:21" s="4" customFormat="1" ht="18" customHeight="1">
      <c r="A79" s="119">
        <v>3</v>
      </c>
      <c r="B79" s="93" t="s">
        <v>110</v>
      </c>
      <c r="C79" s="94" t="s">
        <v>18</v>
      </c>
      <c r="D79" s="25" t="s">
        <v>239</v>
      </c>
      <c r="E79" s="5"/>
      <c r="F79" s="580"/>
      <c r="G79" s="580"/>
      <c r="H79" s="580"/>
      <c r="I79" s="580"/>
      <c r="J79" s="306" t="str">
        <f>C79</f>
        <v>MWh</v>
      </c>
      <c r="K79" s="507"/>
      <c r="L79" s="1"/>
      <c r="M79" s="43"/>
      <c r="N79" s="43"/>
      <c r="O79" s="43"/>
      <c r="P79" s="43"/>
      <c r="Q79" s="43"/>
      <c r="R79" s="43"/>
      <c r="S79" s="43"/>
      <c r="T79" s="43"/>
      <c r="U79" s="43"/>
    </row>
    <row r="80" spans="1:21" s="4" customFormat="1" ht="18" customHeight="1">
      <c r="A80" s="119">
        <v>4</v>
      </c>
      <c r="B80" s="93" t="s">
        <v>82</v>
      </c>
      <c r="C80" s="94" t="s">
        <v>16</v>
      </c>
      <c r="D80" s="25" t="s">
        <v>238</v>
      </c>
      <c r="E80" s="5"/>
      <c r="F80" s="581">
        <v>1.1000000000000001</v>
      </c>
      <c r="G80" s="581" t="s">
        <v>857</v>
      </c>
      <c r="H80" s="581" t="s">
        <v>857</v>
      </c>
      <c r="I80" s="581" t="s">
        <v>857</v>
      </c>
      <c r="J80" s="306" t="str">
        <f>C80</f>
        <v>MW</v>
      </c>
      <c r="K80" s="507"/>
      <c r="L80" s="1"/>
      <c r="M80" s="1"/>
      <c r="N80" s="1"/>
      <c r="O80" s="1"/>
      <c r="P80" s="1"/>
      <c r="Q80" s="1"/>
      <c r="R80" s="1"/>
      <c r="S80" s="1"/>
      <c r="T80" s="1"/>
      <c r="U80" s="1"/>
    </row>
    <row r="81" spans="1:21" s="4" customFormat="1" ht="18" customHeight="1">
      <c r="A81" s="119">
        <v>5</v>
      </c>
      <c r="B81" s="93" t="s">
        <v>223</v>
      </c>
      <c r="C81" s="94" t="s">
        <v>16</v>
      </c>
      <c r="D81" s="25" t="s">
        <v>240</v>
      </c>
      <c r="E81" s="5"/>
      <c r="F81" s="581">
        <v>0.57999999999999996</v>
      </c>
      <c r="G81" s="581"/>
      <c r="H81" s="581"/>
      <c r="I81" s="581"/>
      <c r="J81" s="306" t="str">
        <f>C81</f>
        <v>MW</v>
      </c>
      <c r="K81" s="507"/>
      <c r="L81" s="1"/>
      <c r="M81" s="1"/>
      <c r="N81" s="1"/>
      <c r="O81" s="1"/>
      <c r="P81" s="1"/>
      <c r="Q81" s="1"/>
      <c r="R81" s="1"/>
      <c r="S81" s="1"/>
      <c r="T81" s="1"/>
      <c r="U81" s="1"/>
    </row>
    <row r="82" spans="1:21" s="4" customFormat="1" ht="18" customHeight="1">
      <c r="A82" s="119">
        <v>6</v>
      </c>
      <c r="B82" s="93" t="s">
        <v>111</v>
      </c>
      <c r="C82" s="94" t="s">
        <v>16</v>
      </c>
      <c r="D82" s="25" t="s">
        <v>241</v>
      </c>
      <c r="E82" s="5"/>
      <c r="F82" s="581"/>
      <c r="G82" s="581"/>
      <c r="H82" s="581"/>
      <c r="I82" s="581"/>
      <c r="J82" s="306" t="str">
        <f>C82</f>
        <v>MW</v>
      </c>
      <c r="K82" s="507"/>
      <c r="L82" s="1"/>
      <c r="M82" s="1"/>
      <c r="N82" s="1"/>
      <c r="O82" s="1"/>
      <c r="P82" s="1"/>
      <c r="Q82" s="1"/>
      <c r="R82" s="1"/>
      <c r="S82" s="1"/>
      <c r="T82" s="1"/>
      <c r="U82" s="1"/>
    </row>
    <row r="83" spans="1:21" s="4" customFormat="1" ht="14.1" customHeight="1">
      <c r="A83" s="119"/>
      <c r="B83" s="3"/>
      <c r="C83" s="57"/>
      <c r="D83" s="25"/>
      <c r="E83" s="25"/>
      <c r="F83" s="338"/>
      <c r="G83" s="379"/>
      <c r="H83" s="379"/>
      <c r="I83" s="379"/>
      <c r="J83" s="306"/>
      <c r="K83" s="123"/>
      <c r="L83" s="1"/>
      <c r="M83" s="1"/>
      <c r="N83" s="1"/>
      <c r="O83" s="1"/>
      <c r="P83" s="1"/>
      <c r="Q83" s="1"/>
      <c r="R83" s="1"/>
      <c r="S83" s="1"/>
      <c r="T83" s="1"/>
      <c r="U83" s="1"/>
    </row>
    <row r="84" spans="1:21" s="1" customFormat="1" ht="18" customHeight="1">
      <c r="A84" s="119">
        <v>7</v>
      </c>
      <c r="B84" s="95" t="s">
        <v>112</v>
      </c>
      <c r="C84" s="94" t="s">
        <v>16</v>
      </c>
      <c r="D84" s="44" t="s">
        <v>242</v>
      </c>
      <c r="E84" s="45"/>
      <c r="F84" s="581">
        <v>1.5</v>
      </c>
      <c r="G84" s="581"/>
      <c r="H84" s="581"/>
      <c r="I84" s="581"/>
      <c r="J84" s="306" t="str">
        <f t="shared" ref="J84:J108" si="0">C84</f>
        <v>MW</v>
      </c>
      <c r="K84" s="507"/>
    </row>
    <row r="85" spans="1:21" s="1" customFormat="1" ht="18" customHeight="1">
      <c r="A85" s="119">
        <v>7</v>
      </c>
      <c r="B85" s="95" t="s">
        <v>113</v>
      </c>
      <c r="C85" s="94" t="s">
        <v>16</v>
      </c>
      <c r="D85" s="44" t="s">
        <v>242</v>
      </c>
      <c r="E85" s="45"/>
      <c r="F85" s="581">
        <v>1.0149999999999999</v>
      </c>
      <c r="G85" s="581"/>
      <c r="H85" s="581"/>
      <c r="I85" s="581"/>
      <c r="J85" s="306" t="str">
        <f t="shared" si="0"/>
        <v>MW</v>
      </c>
      <c r="K85" s="507"/>
    </row>
    <row r="86" spans="1:21" s="1" customFormat="1" ht="18" customHeight="1">
      <c r="A86" s="119">
        <v>7</v>
      </c>
      <c r="B86" s="95" t="s">
        <v>114</v>
      </c>
      <c r="C86" s="94" t="s">
        <v>16</v>
      </c>
      <c r="D86" s="44" t="s">
        <v>242</v>
      </c>
      <c r="E86" s="45"/>
      <c r="F86" s="581">
        <v>0.75</v>
      </c>
      <c r="G86" s="581"/>
      <c r="H86" s="581"/>
      <c r="I86" s="581"/>
      <c r="J86" s="306" t="str">
        <f t="shared" si="0"/>
        <v>MW</v>
      </c>
      <c r="K86" s="507"/>
    </row>
    <row r="87" spans="1:21" s="1" customFormat="1" ht="18" customHeight="1">
      <c r="A87" s="119">
        <v>7</v>
      </c>
      <c r="B87" s="95" t="s">
        <v>115</v>
      </c>
      <c r="C87" s="94" t="s">
        <v>16</v>
      </c>
      <c r="D87" s="44" t="s">
        <v>242</v>
      </c>
      <c r="E87" s="45"/>
      <c r="F87" s="581"/>
      <c r="G87" s="581"/>
      <c r="H87" s="581"/>
      <c r="I87" s="581"/>
      <c r="J87" s="306" t="str">
        <f t="shared" si="0"/>
        <v>MW</v>
      </c>
      <c r="K87" s="507"/>
    </row>
    <row r="88" spans="1:21" s="1" customFormat="1" ht="18" customHeight="1">
      <c r="A88" s="119">
        <v>7</v>
      </c>
      <c r="B88" s="95" t="s">
        <v>116</v>
      </c>
      <c r="C88" s="94" t="s">
        <v>16</v>
      </c>
      <c r="D88" s="44" t="s">
        <v>242</v>
      </c>
      <c r="E88" s="45"/>
      <c r="F88" s="581"/>
      <c r="G88" s="581"/>
      <c r="H88" s="581"/>
      <c r="I88" s="581"/>
      <c r="J88" s="306" t="str">
        <f t="shared" si="0"/>
        <v>MW</v>
      </c>
      <c r="K88" s="507"/>
    </row>
    <row r="89" spans="1:21" s="1" customFormat="1" ht="18" customHeight="1">
      <c r="A89" s="119">
        <v>7</v>
      </c>
      <c r="B89" s="95" t="s">
        <v>117</v>
      </c>
      <c r="C89" s="94" t="s">
        <v>16</v>
      </c>
      <c r="D89" s="44" t="s">
        <v>242</v>
      </c>
      <c r="E89" s="45"/>
      <c r="F89" s="581"/>
      <c r="G89" s="581"/>
      <c r="H89" s="581"/>
      <c r="I89" s="581"/>
      <c r="J89" s="306" t="str">
        <f t="shared" si="0"/>
        <v>MW</v>
      </c>
      <c r="K89" s="507"/>
    </row>
    <row r="90" spans="1:21" s="1" customFormat="1" ht="18" customHeight="1">
      <c r="A90" s="119">
        <v>7</v>
      </c>
      <c r="B90" s="95" t="s">
        <v>118</v>
      </c>
      <c r="C90" s="94" t="s">
        <v>16</v>
      </c>
      <c r="D90" s="44" t="s">
        <v>242</v>
      </c>
      <c r="E90" s="45"/>
      <c r="F90" s="581"/>
      <c r="G90" s="581"/>
      <c r="H90" s="581"/>
      <c r="I90" s="581"/>
      <c r="J90" s="306" t="str">
        <f t="shared" si="0"/>
        <v>MW</v>
      </c>
      <c r="K90" s="507"/>
    </row>
    <row r="91" spans="1:21" s="1" customFormat="1" ht="18" customHeight="1">
      <c r="A91" s="119">
        <v>7</v>
      </c>
      <c r="B91" s="95" t="s">
        <v>119</v>
      </c>
      <c r="C91" s="94" t="s">
        <v>16</v>
      </c>
      <c r="D91" s="44" t="s">
        <v>242</v>
      </c>
      <c r="E91" s="45"/>
      <c r="F91" s="581"/>
      <c r="G91" s="581"/>
      <c r="H91" s="581"/>
      <c r="I91" s="581"/>
      <c r="J91" s="306" t="str">
        <f t="shared" si="0"/>
        <v>MW</v>
      </c>
      <c r="K91" s="507"/>
    </row>
    <row r="92" spans="1:21" s="1" customFormat="1" ht="18" customHeight="1">
      <c r="A92" s="119">
        <v>7</v>
      </c>
      <c r="B92" s="95" t="s">
        <v>120</v>
      </c>
      <c r="C92" s="94" t="s">
        <v>16</v>
      </c>
      <c r="D92" s="44" t="s">
        <v>242</v>
      </c>
      <c r="E92" s="45"/>
      <c r="F92" s="581"/>
      <c r="G92" s="581"/>
      <c r="H92" s="581"/>
      <c r="I92" s="581"/>
      <c r="J92" s="306" t="str">
        <f t="shared" si="0"/>
        <v>MW</v>
      </c>
      <c r="K92" s="507"/>
    </row>
    <row r="93" spans="1:21" s="1" customFormat="1" ht="18" customHeight="1">
      <c r="A93" s="119">
        <v>7</v>
      </c>
      <c r="B93" s="95" t="s">
        <v>121</v>
      </c>
      <c r="C93" s="94" t="s">
        <v>16</v>
      </c>
      <c r="D93" s="44" t="s">
        <v>242</v>
      </c>
      <c r="E93" s="45"/>
      <c r="F93" s="581"/>
      <c r="G93" s="581"/>
      <c r="H93" s="581"/>
      <c r="I93" s="581"/>
      <c r="J93" s="306" t="str">
        <f t="shared" ref="J93:J100" si="1">C93</f>
        <v>MW</v>
      </c>
      <c r="K93" s="507"/>
    </row>
    <row r="94" spans="1:21" s="1" customFormat="1" ht="18" customHeight="1">
      <c r="A94" s="119">
        <v>7</v>
      </c>
      <c r="B94" s="95" t="s">
        <v>122</v>
      </c>
      <c r="C94" s="94" t="s">
        <v>16</v>
      </c>
      <c r="D94" s="44" t="s">
        <v>242</v>
      </c>
      <c r="E94" s="45"/>
      <c r="F94" s="581"/>
      <c r="G94" s="581"/>
      <c r="H94" s="581"/>
      <c r="I94" s="581"/>
      <c r="J94" s="306" t="str">
        <f t="shared" si="1"/>
        <v>MW</v>
      </c>
      <c r="K94" s="507"/>
    </row>
    <row r="95" spans="1:21" s="1" customFormat="1" ht="18" customHeight="1">
      <c r="A95" s="119">
        <v>7</v>
      </c>
      <c r="B95" s="95" t="s">
        <v>123</v>
      </c>
      <c r="C95" s="94" t="s">
        <v>16</v>
      </c>
      <c r="D95" s="44" t="s">
        <v>242</v>
      </c>
      <c r="E95" s="45"/>
      <c r="F95" s="581"/>
      <c r="G95" s="581"/>
      <c r="H95" s="581"/>
      <c r="I95" s="581"/>
      <c r="J95" s="306" t="str">
        <f t="shared" si="1"/>
        <v>MW</v>
      </c>
      <c r="K95" s="507"/>
    </row>
    <row r="96" spans="1:21" s="1" customFormat="1" ht="18" customHeight="1">
      <c r="A96" s="119">
        <v>7</v>
      </c>
      <c r="B96" s="95" t="s">
        <v>124</v>
      </c>
      <c r="C96" s="94" t="s">
        <v>16</v>
      </c>
      <c r="D96" s="44" t="s">
        <v>242</v>
      </c>
      <c r="E96" s="45"/>
      <c r="F96" s="581"/>
      <c r="G96" s="581"/>
      <c r="H96" s="581"/>
      <c r="I96" s="581"/>
      <c r="J96" s="306" t="str">
        <f t="shared" si="1"/>
        <v>MW</v>
      </c>
      <c r="K96" s="507"/>
    </row>
    <row r="97" spans="1:21" s="1" customFormat="1" ht="18" customHeight="1">
      <c r="A97" s="119">
        <v>7</v>
      </c>
      <c r="B97" s="95" t="s">
        <v>125</v>
      </c>
      <c r="C97" s="94" t="s">
        <v>16</v>
      </c>
      <c r="D97" s="44" t="s">
        <v>242</v>
      </c>
      <c r="E97" s="45"/>
      <c r="F97" s="581"/>
      <c r="G97" s="581"/>
      <c r="H97" s="581"/>
      <c r="I97" s="581"/>
      <c r="J97" s="306" t="str">
        <f t="shared" si="1"/>
        <v>MW</v>
      </c>
      <c r="K97" s="507"/>
    </row>
    <row r="98" spans="1:21" s="1" customFormat="1" ht="18" customHeight="1">
      <c r="A98" s="119">
        <v>7</v>
      </c>
      <c r="B98" s="95" t="s">
        <v>126</v>
      </c>
      <c r="C98" s="94" t="s">
        <v>16</v>
      </c>
      <c r="D98" s="44" t="s">
        <v>242</v>
      </c>
      <c r="E98" s="45"/>
      <c r="F98" s="581"/>
      <c r="G98" s="581"/>
      <c r="H98" s="581"/>
      <c r="I98" s="581"/>
      <c r="J98" s="306" t="str">
        <f t="shared" si="1"/>
        <v>MW</v>
      </c>
      <c r="K98" s="507"/>
    </row>
    <row r="99" spans="1:21" s="1" customFormat="1" ht="18" customHeight="1">
      <c r="A99" s="119">
        <v>7</v>
      </c>
      <c r="B99" s="95" t="s">
        <v>127</v>
      </c>
      <c r="C99" s="94" t="s">
        <v>16</v>
      </c>
      <c r="D99" s="44" t="s">
        <v>242</v>
      </c>
      <c r="E99" s="45"/>
      <c r="F99" s="581"/>
      <c r="G99" s="581"/>
      <c r="H99" s="581"/>
      <c r="I99" s="581"/>
      <c r="J99" s="306" t="str">
        <f t="shared" si="1"/>
        <v>MW</v>
      </c>
      <c r="K99" s="507"/>
    </row>
    <row r="100" spans="1:21" s="1" customFormat="1" ht="18" customHeight="1">
      <c r="A100" s="119">
        <v>7</v>
      </c>
      <c r="B100" s="95" t="s">
        <v>128</v>
      </c>
      <c r="C100" s="94" t="s">
        <v>16</v>
      </c>
      <c r="D100" s="44" t="s">
        <v>242</v>
      </c>
      <c r="E100" s="45"/>
      <c r="F100" s="581"/>
      <c r="G100" s="581"/>
      <c r="H100" s="581"/>
      <c r="I100" s="581"/>
      <c r="J100" s="306" t="str">
        <f t="shared" si="1"/>
        <v>MW</v>
      </c>
      <c r="K100" s="507"/>
    </row>
    <row r="101" spans="1:21" s="1" customFormat="1" ht="18" customHeight="1">
      <c r="A101" s="119">
        <v>7</v>
      </c>
      <c r="B101" s="95" t="s">
        <v>581</v>
      </c>
      <c r="C101" s="94" t="s">
        <v>16</v>
      </c>
      <c r="D101" s="44" t="s">
        <v>242</v>
      </c>
      <c r="E101" s="45"/>
      <c r="F101" s="581"/>
      <c r="G101" s="581"/>
      <c r="H101" s="581"/>
      <c r="I101" s="581"/>
      <c r="J101" s="306" t="str">
        <f t="shared" si="0"/>
        <v>MW</v>
      </c>
      <c r="K101" s="507"/>
    </row>
    <row r="102" spans="1:21" s="1" customFormat="1" ht="18" customHeight="1">
      <c r="A102" s="119">
        <v>7</v>
      </c>
      <c r="B102" s="95" t="s">
        <v>582</v>
      </c>
      <c r="C102" s="94" t="s">
        <v>16</v>
      </c>
      <c r="D102" s="44" t="s">
        <v>242</v>
      </c>
      <c r="E102" s="45"/>
      <c r="F102" s="581"/>
      <c r="G102" s="581"/>
      <c r="H102" s="581"/>
      <c r="I102" s="581"/>
      <c r="J102" s="306" t="str">
        <f t="shared" si="0"/>
        <v>MW</v>
      </c>
      <c r="K102" s="507"/>
    </row>
    <row r="103" spans="1:21" s="1" customFormat="1" ht="18" customHeight="1">
      <c r="A103" s="119">
        <v>7</v>
      </c>
      <c r="B103" s="95" t="s">
        <v>583</v>
      </c>
      <c r="C103" s="94" t="s">
        <v>16</v>
      </c>
      <c r="D103" s="44" t="s">
        <v>242</v>
      </c>
      <c r="E103" s="45"/>
      <c r="F103" s="581"/>
      <c r="G103" s="581"/>
      <c r="H103" s="581"/>
      <c r="I103" s="581"/>
      <c r="J103" s="306" t="str">
        <f t="shared" si="0"/>
        <v>MW</v>
      </c>
      <c r="K103" s="507"/>
    </row>
    <row r="104" spans="1:21" s="1" customFormat="1" ht="18" customHeight="1">
      <c r="A104" s="119">
        <v>7</v>
      </c>
      <c r="B104" s="95" t="s">
        <v>584</v>
      </c>
      <c r="C104" s="94" t="s">
        <v>16</v>
      </c>
      <c r="D104" s="44" t="s">
        <v>242</v>
      </c>
      <c r="E104" s="45"/>
      <c r="F104" s="581"/>
      <c r="G104" s="581"/>
      <c r="H104" s="581"/>
      <c r="I104" s="581"/>
      <c r="J104" s="306" t="str">
        <f t="shared" si="0"/>
        <v>MW</v>
      </c>
      <c r="K104" s="507"/>
    </row>
    <row r="105" spans="1:21" s="1" customFormat="1" ht="18" customHeight="1">
      <c r="A105" s="119">
        <v>7</v>
      </c>
      <c r="B105" s="95" t="s">
        <v>585</v>
      </c>
      <c r="C105" s="94" t="s">
        <v>16</v>
      </c>
      <c r="D105" s="44" t="s">
        <v>242</v>
      </c>
      <c r="E105" s="45"/>
      <c r="F105" s="581"/>
      <c r="G105" s="581"/>
      <c r="H105" s="581"/>
      <c r="I105" s="581"/>
      <c r="J105" s="306" t="str">
        <f t="shared" si="0"/>
        <v>MW</v>
      </c>
      <c r="K105" s="507"/>
    </row>
    <row r="106" spans="1:21" s="1" customFormat="1" ht="18" customHeight="1">
      <c r="A106" s="119">
        <v>7</v>
      </c>
      <c r="B106" s="95" t="s">
        <v>586</v>
      </c>
      <c r="C106" s="94" t="s">
        <v>16</v>
      </c>
      <c r="D106" s="44" t="s">
        <v>242</v>
      </c>
      <c r="E106" s="45"/>
      <c r="F106" s="581"/>
      <c r="G106" s="581"/>
      <c r="H106" s="581"/>
      <c r="I106" s="581"/>
      <c r="J106" s="306" t="str">
        <f t="shared" si="0"/>
        <v>MW</v>
      </c>
      <c r="K106" s="507"/>
    </row>
    <row r="107" spans="1:21" s="1" customFormat="1" ht="18" customHeight="1">
      <c r="A107" s="119">
        <v>7</v>
      </c>
      <c r="B107" s="95" t="s">
        <v>587</v>
      </c>
      <c r="C107" s="94" t="s">
        <v>16</v>
      </c>
      <c r="D107" s="44" t="s">
        <v>242</v>
      </c>
      <c r="E107" s="45"/>
      <c r="F107" s="581"/>
      <c r="G107" s="581"/>
      <c r="H107" s="581"/>
      <c r="I107" s="581"/>
      <c r="J107" s="306" t="str">
        <f t="shared" si="0"/>
        <v>MW</v>
      </c>
      <c r="K107" s="507"/>
    </row>
    <row r="108" spans="1:21" s="1" customFormat="1" ht="18" customHeight="1">
      <c r="A108" s="119">
        <v>7</v>
      </c>
      <c r="B108" s="95" t="s">
        <v>588</v>
      </c>
      <c r="C108" s="94" t="s">
        <v>16</v>
      </c>
      <c r="D108" s="44" t="s">
        <v>242</v>
      </c>
      <c r="E108" s="45"/>
      <c r="F108" s="581"/>
      <c r="G108" s="581"/>
      <c r="H108" s="581"/>
      <c r="I108" s="581"/>
      <c r="J108" s="306" t="str">
        <f t="shared" si="0"/>
        <v>MW</v>
      </c>
      <c r="K108" s="507"/>
    </row>
    <row r="109" spans="1:21" s="4" customFormat="1" ht="14.1" customHeight="1">
      <c r="A109" s="119"/>
      <c r="B109" s="3"/>
      <c r="C109" s="57"/>
      <c r="D109" s="25"/>
      <c r="E109" s="25"/>
      <c r="F109" s="541"/>
      <c r="G109" s="542"/>
      <c r="H109" s="543"/>
      <c r="I109" s="543"/>
      <c r="J109" s="306"/>
      <c r="K109" s="123"/>
      <c r="L109" s="1"/>
      <c r="M109" s="1"/>
      <c r="N109" s="1"/>
      <c r="O109" s="1"/>
      <c r="P109" s="1"/>
      <c r="Q109" s="1"/>
      <c r="R109" s="1"/>
      <c r="S109" s="1"/>
      <c r="T109" s="1"/>
      <c r="U109" s="1"/>
    </row>
    <row r="110" spans="1:21" s="4" customFormat="1" ht="18" customHeight="1">
      <c r="A110" s="119">
        <v>8</v>
      </c>
      <c r="B110" s="242" t="s">
        <v>224</v>
      </c>
      <c r="C110" s="243" t="s">
        <v>18</v>
      </c>
      <c r="D110" s="25" t="s">
        <v>243</v>
      </c>
      <c r="E110" s="96"/>
      <c r="F110" s="544"/>
      <c r="G110" s="545"/>
      <c r="H110" s="545"/>
      <c r="I110" s="545"/>
      <c r="J110" s="539"/>
      <c r="K110" s="123"/>
      <c r="L110" s="1"/>
      <c r="M110" s="1"/>
      <c r="N110" s="1"/>
      <c r="O110" s="1"/>
      <c r="P110" s="1"/>
      <c r="Q110" s="1"/>
      <c r="R110" s="1"/>
      <c r="S110" s="1"/>
      <c r="T110" s="1"/>
      <c r="U110" s="1"/>
    </row>
    <row r="111" spans="1:21" s="4" customFormat="1" ht="18" customHeight="1">
      <c r="A111" s="119" t="s">
        <v>300</v>
      </c>
      <c r="B111" s="133" t="s">
        <v>129</v>
      </c>
      <c r="C111" s="94" t="s">
        <v>18</v>
      </c>
      <c r="D111" s="25" t="s">
        <v>244</v>
      </c>
      <c r="E111" s="5"/>
      <c r="F111" s="693">
        <v>5108</v>
      </c>
      <c r="G111" s="556"/>
      <c r="H111" s="556"/>
      <c r="I111" s="582"/>
      <c r="J111" s="306" t="str">
        <f>C111</f>
        <v>MWh</v>
      </c>
      <c r="K111" s="507"/>
      <c r="L111" s="1"/>
      <c r="M111" s="1"/>
      <c r="N111" s="1"/>
      <c r="O111" s="1"/>
      <c r="P111" s="1"/>
      <c r="Q111" s="1"/>
      <c r="R111" s="1"/>
      <c r="S111" s="1"/>
      <c r="T111" s="1"/>
      <c r="U111" s="1"/>
    </row>
    <row r="112" spans="1:21" s="4" customFormat="1" ht="18" customHeight="1">
      <c r="A112" s="119" t="s">
        <v>301</v>
      </c>
      <c r="B112" s="133" t="s">
        <v>332</v>
      </c>
      <c r="C112" s="94" t="s">
        <v>18</v>
      </c>
      <c r="D112" s="25" t="s">
        <v>245</v>
      </c>
      <c r="E112" s="5"/>
      <c r="F112" s="556"/>
      <c r="G112" s="556"/>
      <c r="H112" s="556"/>
      <c r="I112" s="583"/>
      <c r="J112" s="306" t="str">
        <f t="shared" ref="J112:J121" si="2">C112</f>
        <v>MWh</v>
      </c>
      <c r="K112" s="507"/>
      <c r="L112" s="1"/>
      <c r="M112" s="1"/>
      <c r="N112" s="1"/>
      <c r="O112" s="1"/>
      <c r="P112" s="1"/>
      <c r="Q112" s="1"/>
      <c r="R112" s="1"/>
      <c r="S112" s="1"/>
      <c r="T112" s="1"/>
      <c r="U112" s="1"/>
    </row>
    <row r="113" spans="1:21" s="4" customFormat="1" ht="18" customHeight="1">
      <c r="A113" s="119" t="s">
        <v>302</v>
      </c>
      <c r="B113" s="133" t="s">
        <v>333</v>
      </c>
      <c r="C113" s="94" t="s">
        <v>18</v>
      </c>
      <c r="D113" s="25" t="s">
        <v>246</v>
      </c>
      <c r="E113" s="5"/>
      <c r="F113" s="556"/>
      <c r="G113" s="556"/>
      <c r="H113" s="556"/>
      <c r="I113" s="582"/>
      <c r="J113" s="306" t="str">
        <f t="shared" si="2"/>
        <v>MWh</v>
      </c>
      <c r="K113" s="507"/>
      <c r="L113" s="1"/>
      <c r="M113" s="1"/>
      <c r="N113" s="1"/>
      <c r="O113" s="1"/>
      <c r="P113" s="1"/>
      <c r="Q113" s="1"/>
      <c r="R113" s="1"/>
      <c r="S113" s="1"/>
      <c r="T113" s="1"/>
      <c r="U113" s="1"/>
    </row>
    <row r="114" spans="1:21" s="4" customFormat="1" ht="32.25" customHeight="1">
      <c r="A114" s="119" t="s">
        <v>303</v>
      </c>
      <c r="B114" s="133" t="s">
        <v>155</v>
      </c>
      <c r="C114" s="94" t="s">
        <v>18</v>
      </c>
      <c r="D114" s="25" t="s">
        <v>247</v>
      </c>
      <c r="E114" s="5"/>
      <c r="F114" s="556"/>
      <c r="G114" s="556"/>
      <c r="H114" s="556"/>
      <c r="I114" s="583"/>
      <c r="J114" s="306" t="str">
        <f t="shared" si="2"/>
        <v>MWh</v>
      </c>
      <c r="K114" s="507"/>
      <c r="L114" s="1"/>
      <c r="M114" s="1"/>
      <c r="N114" s="1"/>
      <c r="O114" s="1"/>
      <c r="P114" s="1"/>
      <c r="Q114" s="1"/>
      <c r="R114" s="1"/>
      <c r="S114" s="1"/>
      <c r="T114" s="1"/>
      <c r="U114" s="1"/>
    </row>
    <row r="115" spans="1:21" s="4" customFormat="1" ht="18" customHeight="1">
      <c r="A115" s="119" t="s">
        <v>304</v>
      </c>
      <c r="B115" s="133" t="s">
        <v>334</v>
      </c>
      <c r="C115" s="94" t="s">
        <v>18</v>
      </c>
      <c r="D115" s="25" t="s">
        <v>248</v>
      </c>
      <c r="E115" s="5"/>
      <c r="F115" s="556"/>
      <c r="G115" s="556"/>
      <c r="H115" s="556"/>
      <c r="I115" s="583"/>
      <c r="J115" s="306" t="str">
        <f>C115</f>
        <v>MWh</v>
      </c>
      <c r="K115" s="507"/>
      <c r="L115" s="1"/>
      <c r="M115" s="1"/>
      <c r="N115" s="1"/>
      <c r="O115" s="1"/>
      <c r="P115" s="1"/>
      <c r="Q115" s="1"/>
      <c r="R115" s="1"/>
      <c r="S115" s="1"/>
      <c r="T115" s="1"/>
      <c r="U115" s="1"/>
    </row>
    <row r="116" spans="1:21" s="4" customFormat="1" ht="18" customHeight="1">
      <c r="A116" s="119" t="s">
        <v>305</v>
      </c>
      <c r="B116" s="133" t="s">
        <v>335</v>
      </c>
      <c r="C116" s="94" t="s">
        <v>18</v>
      </c>
      <c r="D116" s="25" t="s">
        <v>249</v>
      </c>
      <c r="E116" s="5"/>
      <c r="F116" s="556"/>
      <c r="G116" s="556"/>
      <c r="H116" s="556"/>
      <c r="I116" s="583"/>
      <c r="J116" s="306" t="str">
        <f t="shared" si="2"/>
        <v>MWh</v>
      </c>
      <c r="K116" s="507"/>
      <c r="L116" s="1"/>
      <c r="M116" s="1"/>
      <c r="N116" s="1"/>
      <c r="O116" s="1"/>
      <c r="P116" s="1"/>
      <c r="Q116" s="1"/>
      <c r="R116" s="1"/>
      <c r="S116" s="1"/>
      <c r="T116" s="1"/>
      <c r="U116" s="1"/>
    </row>
    <row r="117" spans="1:21" s="4" customFormat="1" ht="18" customHeight="1">
      <c r="A117" s="119" t="s">
        <v>306</v>
      </c>
      <c r="B117" s="133" t="s">
        <v>336</v>
      </c>
      <c r="C117" s="94" t="s">
        <v>18</v>
      </c>
      <c r="D117" s="25" t="s">
        <v>250</v>
      </c>
      <c r="E117" s="5"/>
      <c r="F117" s="556"/>
      <c r="G117" s="556"/>
      <c r="H117" s="556"/>
      <c r="I117" s="583"/>
      <c r="J117" s="306" t="str">
        <f t="shared" si="2"/>
        <v>MWh</v>
      </c>
      <c r="K117" s="507"/>
      <c r="L117" s="1"/>
      <c r="M117" s="1"/>
      <c r="N117" s="1"/>
      <c r="O117" s="1"/>
      <c r="P117" s="1"/>
      <c r="Q117" s="1"/>
      <c r="R117" s="1"/>
      <c r="S117" s="1"/>
      <c r="T117" s="1"/>
      <c r="U117" s="1"/>
    </row>
    <row r="118" spans="1:21" s="4" customFormat="1" ht="18" customHeight="1">
      <c r="A118" s="119" t="s">
        <v>307</v>
      </c>
      <c r="B118" s="133" t="s">
        <v>337</v>
      </c>
      <c r="C118" s="94" t="s">
        <v>18</v>
      </c>
      <c r="D118" s="25" t="s">
        <v>251</v>
      </c>
      <c r="E118" s="5"/>
      <c r="F118" s="556">
        <v>162</v>
      </c>
      <c r="G118" s="556"/>
      <c r="H118" s="556"/>
      <c r="I118" s="583"/>
      <c r="J118" s="306" t="str">
        <f t="shared" si="2"/>
        <v>MWh</v>
      </c>
      <c r="K118" s="507"/>
      <c r="L118" s="1"/>
      <c r="M118" s="1"/>
      <c r="N118" s="1"/>
      <c r="O118" s="1"/>
      <c r="P118" s="1"/>
      <c r="Q118" s="1"/>
      <c r="R118" s="1"/>
      <c r="S118" s="1"/>
      <c r="T118" s="1"/>
      <c r="U118" s="1"/>
    </row>
    <row r="119" spans="1:21" s="4" customFormat="1" ht="18" customHeight="1">
      <c r="A119" s="119" t="s">
        <v>308</v>
      </c>
      <c r="B119" s="133" t="s">
        <v>338</v>
      </c>
      <c r="C119" s="94" t="s">
        <v>18</v>
      </c>
      <c r="D119" s="25" t="s">
        <v>252</v>
      </c>
      <c r="E119" s="5"/>
      <c r="F119" s="556"/>
      <c r="G119" s="556"/>
      <c r="H119" s="556"/>
      <c r="I119" s="583"/>
      <c r="J119" s="306" t="str">
        <f t="shared" si="2"/>
        <v>MWh</v>
      </c>
      <c r="K119" s="507"/>
      <c r="L119" s="1"/>
      <c r="M119" s="1"/>
      <c r="N119" s="1"/>
      <c r="O119" s="1"/>
      <c r="P119" s="1"/>
      <c r="Q119" s="1"/>
      <c r="R119" s="1"/>
      <c r="S119" s="1"/>
      <c r="T119" s="1"/>
      <c r="U119" s="1"/>
    </row>
    <row r="120" spans="1:21" s="4" customFormat="1" ht="18" customHeight="1">
      <c r="A120" s="119" t="s">
        <v>309</v>
      </c>
      <c r="B120" s="133" t="s">
        <v>339</v>
      </c>
      <c r="C120" s="94" t="s">
        <v>18</v>
      </c>
      <c r="D120" s="25" t="s">
        <v>253</v>
      </c>
      <c r="E120" s="5"/>
      <c r="F120" s="556"/>
      <c r="G120" s="556"/>
      <c r="H120" s="556"/>
      <c r="I120" s="583"/>
      <c r="J120" s="306" t="str">
        <f t="shared" si="2"/>
        <v>MWh</v>
      </c>
      <c r="K120" s="507"/>
      <c r="L120" s="1"/>
      <c r="M120" s="1"/>
      <c r="N120" s="1"/>
      <c r="O120" s="1"/>
      <c r="P120" s="1"/>
      <c r="Q120" s="1"/>
      <c r="R120" s="1"/>
      <c r="S120" s="1"/>
      <c r="T120" s="1"/>
      <c r="U120" s="1"/>
    </row>
    <row r="121" spans="1:21" s="4" customFormat="1" ht="38.25" customHeight="1">
      <c r="A121" s="119" t="s">
        <v>310</v>
      </c>
      <c r="B121" s="248" t="s">
        <v>593</v>
      </c>
      <c r="C121" s="94" t="s">
        <v>18</v>
      </c>
      <c r="D121" s="25" t="s">
        <v>594</v>
      </c>
      <c r="E121" s="5"/>
      <c r="F121" s="556"/>
      <c r="G121" s="556"/>
      <c r="H121" s="556"/>
      <c r="I121" s="583"/>
      <c r="J121" s="306" t="str">
        <f t="shared" si="2"/>
        <v>MWh</v>
      </c>
      <c r="K121" s="507"/>
      <c r="L121" s="1"/>
      <c r="M121" s="1"/>
      <c r="N121" s="1"/>
      <c r="O121" s="1"/>
      <c r="P121" s="1"/>
      <c r="Q121" s="1"/>
      <c r="R121" s="1"/>
      <c r="S121" s="1"/>
      <c r="T121" s="1"/>
      <c r="U121" s="1"/>
    </row>
    <row r="122" spans="1:21" s="4" customFormat="1" ht="14.1" customHeight="1">
      <c r="A122" s="119"/>
      <c r="B122" s="3"/>
      <c r="C122" s="57"/>
      <c r="D122" s="25"/>
      <c r="E122" s="25"/>
      <c r="F122" s="537"/>
      <c r="G122" s="538"/>
      <c r="H122" s="538"/>
      <c r="I122" s="538"/>
      <c r="J122" s="306"/>
      <c r="K122" s="123"/>
      <c r="L122" s="1"/>
      <c r="M122" s="1"/>
      <c r="N122" s="1"/>
      <c r="O122" s="1"/>
      <c r="P122" s="1"/>
      <c r="Q122" s="1"/>
      <c r="R122" s="1"/>
      <c r="S122" s="1"/>
      <c r="T122" s="1"/>
      <c r="U122" s="1"/>
    </row>
    <row r="123" spans="1:21" s="4" customFormat="1" ht="18" customHeight="1">
      <c r="A123" s="119">
        <v>9</v>
      </c>
      <c r="B123" s="242" t="s">
        <v>131</v>
      </c>
      <c r="C123" s="243" t="s">
        <v>227</v>
      </c>
      <c r="D123" s="25"/>
      <c r="E123" s="5"/>
      <c r="F123" s="544"/>
      <c r="G123" s="545"/>
      <c r="H123" s="545"/>
      <c r="I123" s="545"/>
      <c r="J123" s="624" t="s">
        <v>811</v>
      </c>
      <c r="K123" s="228"/>
      <c r="L123" s="1"/>
      <c r="M123" s="1"/>
      <c r="N123" s="1"/>
      <c r="O123" s="1"/>
      <c r="P123" s="1"/>
      <c r="Q123" s="1"/>
      <c r="R123" s="1"/>
      <c r="S123" s="1"/>
      <c r="T123" s="1"/>
      <c r="U123" s="1"/>
    </row>
    <row r="124" spans="1:21" s="4" customFormat="1" ht="18" customHeight="1">
      <c r="A124" s="119" t="s">
        <v>311</v>
      </c>
      <c r="B124" s="133" t="s">
        <v>129</v>
      </c>
      <c r="C124" s="94" t="s">
        <v>227</v>
      </c>
      <c r="D124" s="74" t="s">
        <v>254</v>
      </c>
      <c r="E124" s="5"/>
      <c r="F124" s="693">
        <v>1574367</v>
      </c>
      <c r="G124" s="556"/>
      <c r="H124" s="556"/>
      <c r="I124" s="584"/>
      <c r="J124" s="561" t="s">
        <v>83</v>
      </c>
      <c r="K124" s="507"/>
      <c r="L124" s="1"/>
      <c r="M124" s="1"/>
      <c r="N124" s="1"/>
      <c r="O124" s="1"/>
      <c r="P124" s="1"/>
      <c r="Q124" s="1"/>
      <c r="R124" s="1"/>
      <c r="S124" s="1"/>
      <c r="T124" s="1"/>
      <c r="U124" s="1"/>
    </row>
    <row r="125" spans="1:21" s="4" customFormat="1" ht="18" customHeight="1">
      <c r="A125" s="119" t="s">
        <v>312</v>
      </c>
      <c r="B125" s="133" t="s">
        <v>332</v>
      </c>
      <c r="C125" s="94" t="s">
        <v>227</v>
      </c>
      <c r="D125" s="74" t="s">
        <v>255</v>
      </c>
      <c r="E125" s="5"/>
      <c r="F125" s="556"/>
      <c r="G125" s="556"/>
      <c r="H125" s="556"/>
      <c r="I125" s="556"/>
      <c r="J125" s="561" t="s">
        <v>83</v>
      </c>
      <c r="K125" s="507"/>
      <c r="L125" s="1"/>
      <c r="M125" s="1"/>
      <c r="N125" s="1"/>
      <c r="O125" s="1"/>
      <c r="P125" s="1"/>
      <c r="Q125" s="1"/>
      <c r="R125" s="1"/>
      <c r="S125" s="1"/>
      <c r="T125" s="1"/>
      <c r="U125" s="1"/>
    </row>
    <row r="126" spans="1:21" s="4" customFormat="1" ht="18" customHeight="1">
      <c r="A126" s="119" t="s">
        <v>313</v>
      </c>
      <c r="B126" s="133" t="s">
        <v>333</v>
      </c>
      <c r="C126" s="94" t="s">
        <v>227</v>
      </c>
      <c r="D126" s="74" t="s">
        <v>256</v>
      </c>
      <c r="E126" s="5"/>
      <c r="F126" s="556"/>
      <c r="G126" s="556"/>
      <c r="H126" s="556"/>
      <c r="I126" s="584"/>
      <c r="J126" s="561" t="s">
        <v>83</v>
      </c>
      <c r="K126" s="507"/>
      <c r="L126" s="1"/>
      <c r="M126" s="1"/>
      <c r="N126" s="1"/>
      <c r="O126" s="1"/>
      <c r="P126" s="1"/>
      <c r="Q126" s="1"/>
      <c r="R126" s="1"/>
      <c r="S126" s="1"/>
      <c r="T126" s="1"/>
      <c r="U126" s="1"/>
    </row>
    <row r="127" spans="1:21" s="4" customFormat="1" ht="33.75" customHeight="1">
      <c r="A127" s="119" t="s">
        <v>314</v>
      </c>
      <c r="B127" s="133" t="s">
        <v>130</v>
      </c>
      <c r="C127" s="94" t="s">
        <v>227</v>
      </c>
      <c r="D127" s="74" t="s">
        <v>257</v>
      </c>
      <c r="E127" s="5"/>
      <c r="F127" s="556"/>
      <c r="G127" s="556"/>
      <c r="H127" s="556"/>
      <c r="I127" s="556"/>
      <c r="J127" s="561" t="s">
        <v>83</v>
      </c>
      <c r="K127" s="507"/>
      <c r="L127" s="1"/>
      <c r="M127" s="1"/>
      <c r="N127" s="1"/>
      <c r="O127" s="1"/>
      <c r="P127" s="1"/>
      <c r="Q127" s="1"/>
      <c r="R127" s="1"/>
      <c r="S127" s="1"/>
      <c r="T127" s="1"/>
      <c r="U127" s="1"/>
    </row>
    <row r="128" spans="1:21" s="4" customFormat="1" ht="18" customHeight="1">
      <c r="A128" s="119" t="s">
        <v>315</v>
      </c>
      <c r="B128" s="133" t="s">
        <v>334</v>
      </c>
      <c r="C128" s="94" t="s">
        <v>227</v>
      </c>
      <c r="D128" s="74" t="s">
        <v>258</v>
      </c>
      <c r="E128" s="5"/>
      <c r="F128" s="557"/>
      <c r="G128" s="557"/>
      <c r="H128" s="557"/>
      <c r="I128" s="557"/>
      <c r="J128" s="561" t="s">
        <v>83</v>
      </c>
      <c r="K128" s="507"/>
      <c r="L128" s="1"/>
      <c r="M128" s="1"/>
      <c r="N128" s="1"/>
      <c r="O128" s="1"/>
      <c r="P128" s="1"/>
      <c r="Q128" s="1"/>
      <c r="R128" s="1"/>
      <c r="S128" s="1"/>
      <c r="T128" s="1"/>
      <c r="U128" s="1"/>
    </row>
    <row r="129" spans="1:21" s="4" customFormat="1" ht="18" customHeight="1">
      <c r="A129" s="119"/>
      <c r="B129" s="3"/>
      <c r="C129" s="57"/>
      <c r="D129" s="74"/>
      <c r="E129" s="5"/>
      <c r="F129" s="544"/>
      <c r="G129" s="545"/>
      <c r="H129" s="545"/>
      <c r="I129" s="545"/>
      <c r="J129" s="539"/>
      <c r="K129" s="228"/>
      <c r="L129" s="1"/>
      <c r="M129" s="1"/>
      <c r="N129" s="1"/>
      <c r="O129" s="1"/>
      <c r="P129" s="1"/>
      <c r="Q129" s="1"/>
      <c r="R129" s="1"/>
      <c r="S129" s="1"/>
      <c r="T129" s="1"/>
      <c r="U129" s="1"/>
    </row>
    <row r="130" spans="1:21" s="4" customFormat="1" ht="18" customHeight="1">
      <c r="A130" s="119">
        <v>9.1</v>
      </c>
      <c r="B130" s="244" t="s">
        <v>578</v>
      </c>
      <c r="C130" s="246" t="s">
        <v>786</v>
      </c>
      <c r="D130" s="25"/>
      <c r="E130" s="5"/>
      <c r="F130" s="544"/>
      <c r="G130" s="545"/>
      <c r="H130" s="545"/>
      <c r="I130" s="545"/>
      <c r="J130" s="624" t="s">
        <v>811</v>
      </c>
      <c r="K130" s="228"/>
      <c r="L130" s="1"/>
      <c r="M130" s="1"/>
      <c r="N130" s="1"/>
      <c r="O130" s="1"/>
      <c r="P130" s="1"/>
      <c r="Q130" s="1"/>
      <c r="R130" s="1"/>
      <c r="S130" s="1"/>
      <c r="T130" s="1"/>
      <c r="U130" s="1"/>
    </row>
    <row r="131" spans="1:21" s="4" customFormat="1" ht="18" customHeight="1">
      <c r="A131" s="119" t="s">
        <v>573</v>
      </c>
      <c r="B131" s="207" t="s">
        <v>129</v>
      </c>
      <c r="C131" s="207" t="s">
        <v>786</v>
      </c>
      <c r="D131" s="303" t="s">
        <v>504</v>
      </c>
      <c r="E131" s="5"/>
      <c r="F131" s="580"/>
      <c r="G131" s="580"/>
      <c r="H131" s="580"/>
      <c r="I131" s="580"/>
      <c r="J131" s="585" t="s">
        <v>65</v>
      </c>
      <c r="K131" s="507"/>
      <c r="L131" s="1"/>
      <c r="M131" s="1"/>
      <c r="N131" s="1"/>
      <c r="O131" s="1"/>
      <c r="P131" s="1"/>
      <c r="Q131" s="1"/>
      <c r="R131" s="1"/>
      <c r="S131" s="1"/>
      <c r="T131" s="1"/>
      <c r="U131" s="1"/>
    </row>
    <row r="132" spans="1:21" s="4" customFormat="1" ht="27" customHeight="1">
      <c r="A132" s="119" t="s">
        <v>574</v>
      </c>
      <c r="B132" s="207" t="s">
        <v>332</v>
      </c>
      <c r="C132" s="207" t="s">
        <v>786</v>
      </c>
      <c r="D132" s="303" t="s">
        <v>621</v>
      </c>
      <c r="E132" s="5"/>
      <c r="F132" s="580"/>
      <c r="G132" s="580"/>
      <c r="H132" s="580"/>
      <c r="I132" s="580"/>
      <c r="J132" s="585" t="s">
        <v>65</v>
      </c>
      <c r="K132" s="507"/>
      <c r="L132" s="1"/>
      <c r="M132" s="1"/>
      <c r="N132" s="1"/>
      <c r="O132" s="1"/>
      <c r="P132" s="1"/>
      <c r="Q132" s="1"/>
      <c r="R132" s="1"/>
      <c r="S132" s="1"/>
      <c r="T132" s="1"/>
      <c r="U132" s="1"/>
    </row>
    <row r="133" spans="1:21" s="4" customFormat="1" ht="18" customHeight="1">
      <c r="A133" s="119" t="s">
        <v>575</v>
      </c>
      <c r="B133" s="207" t="s">
        <v>333</v>
      </c>
      <c r="C133" s="207" t="s">
        <v>786</v>
      </c>
      <c r="D133" s="303" t="s">
        <v>622</v>
      </c>
      <c r="E133" s="5"/>
      <c r="F133" s="580"/>
      <c r="G133" s="580"/>
      <c r="H133" s="580"/>
      <c r="I133" s="580"/>
      <c r="J133" s="585" t="s">
        <v>65</v>
      </c>
      <c r="K133" s="507"/>
      <c r="L133" s="1"/>
      <c r="M133" s="1"/>
      <c r="N133" s="1"/>
      <c r="O133" s="1"/>
      <c r="P133" s="1"/>
      <c r="Q133" s="1"/>
      <c r="R133" s="1"/>
      <c r="S133" s="1"/>
      <c r="T133" s="1"/>
      <c r="U133" s="1"/>
    </row>
    <row r="134" spans="1:21" s="4" customFormat="1" ht="30" customHeight="1">
      <c r="A134" s="119" t="s">
        <v>576</v>
      </c>
      <c r="B134" s="207" t="s">
        <v>130</v>
      </c>
      <c r="C134" s="207" t="s">
        <v>786</v>
      </c>
      <c r="D134" s="303" t="s">
        <v>623</v>
      </c>
      <c r="E134" s="5"/>
      <c r="F134" s="580"/>
      <c r="G134" s="580"/>
      <c r="H134" s="580"/>
      <c r="I134" s="580"/>
      <c r="J134" s="585" t="s">
        <v>65</v>
      </c>
      <c r="K134" s="507"/>
      <c r="L134" s="1"/>
      <c r="M134" s="1"/>
      <c r="N134" s="1"/>
      <c r="O134" s="1"/>
      <c r="P134" s="1"/>
      <c r="Q134" s="1"/>
      <c r="R134" s="1"/>
      <c r="S134" s="1"/>
      <c r="T134" s="1"/>
      <c r="U134" s="1"/>
    </row>
    <row r="135" spans="1:21" s="4" customFormat="1" ht="18" customHeight="1">
      <c r="A135" s="119" t="s">
        <v>577</v>
      </c>
      <c r="B135" s="207" t="s">
        <v>334</v>
      </c>
      <c r="C135" s="207" t="s">
        <v>786</v>
      </c>
      <c r="D135" s="303" t="s">
        <v>624</v>
      </c>
      <c r="E135" s="5"/>
      <c r="F135" s="580"/>
      <c r="G135" s="580"/>
      <c r="H135" s="580"/>
      <c r="I135" s="580"/>
      <c r="J135" s="585" t="s">
        <v>65</v>
      </c>
      <c r="K135" s="507"/>
      <c r="L135" s="1"/>
      <c r="M135" s="1"/>
      <c r="N135" s="1"/>
      <c r="O135" s="1"/>
      <c r="P135" s="1"/>
      <c r="Q135" s="1"/>
      <c r="R135" s="1"/>
      <c r="S135" s="1"/>
      <c r="T135" s="1"/>
      <c r="U135" s="1"/>
    </row>
    <row r="136" spans="1:21" s="4" customFormat="1" ht="18.75" customHeight="1">
      <c r="A136" s="126"/>
      <c r="B136" s="127"/>
      <c r="C136" s="501"/>
      <c r="D136" s="129"/>
      <c r="E136" s="129"/>
      <c r="F136" s="502"/>
      <c r="G136" s="503"/>
      <c r="H136" s="503"/>
      <c r="I136" s="503"/>
      <c r="J136" s="504"/>
      <c r="K136" s="131"/>
      <c r="L136" s="1"/>
      <c r="M136" s="1"/>
      <c r="N136" s="1"/>
      <c r="O136" s="1"/>
      <c r="P136" s="1"/>
      <c r="Q136" s="1"/>
      <c r="R136" s="1"/>
      <c r="S136" s="1"/>
      <c r="T136" s="1"/>
      <c r="U136" s="1"/>
    </row>
    <row r="137" spans="1:21" s="4" customFormat="1" ht="14.1" customHeight="1">
      <c r="A137" s="111" t="s">
        <v>196</v>
      </c>
      <c r="B137" s="112" t="s">
        <v>331</v>
      </c>
      <c r="C137" s="113" t="s">
        <v>15</v>
      </c>
      <c r="D137" s="114" t="s">
        <v>165</v>
      </c>
      <c r="E137" s="115"/>
      <c r="F137" s="318"/>
      <c r="G137" s="116"/>
      <c r="H137" s="116"/>
      <c r="I137" s="116"/>
      <c r="J137" s="117"/>
      <c r="K137" s="118" t="s">
        <v>76</v>
      </c>
      <c r="L137" s="1"/>
      <c r="M137" s="1"/>
      <c r="N137" s="1"/>
      <c r="O137" s="1"/>
      <c r="P137" s="1"/>
      <c r="Q137" s="1"/>
      <c r="R137" s="1"/>
      <c r="S137" s="1"/>
      <c r="T137" s="1"/>
      <c r="U137" s="1"/>
    </row>
    <row r="138" spans="1:21" ht="15.75">
      <c r="A138" s="498"/>
      <c r="B138" s="11"/>
      <c r="C138" s="56"/>
      <c r="D138" s="26"/>
      <c r="E138" s="52"/>
      <c r="F138" s="309"/>
      <c r="G138" s="11"/>
      <c r="H138" s="11"/>
      <c r="I138" s="11"/>
      <c r="J138" s="624" t="s">
        <v>811</v>
      </c>
      <c r="K138" s="500"/>
    </row>
    <row r="139" spans="1:21" s="4" customFormat="1" ht="34.5" customHeight="1">
      <c r="A139" s="119">
        <v>10</v>
      </c>
      <c r="B139" s="97" t="s">
        <v>156</v>
      </c>
      <c r="C139" s="94" t="s">
        <v>227</v>
      </c>
      <c r="D139" s="25" t="s">
        <v>259</v>
      </c>
      <c r="E139" s="5"/>
      <c r="F139" s="693">
        <v>5900</v>
      </c>
      <c r="G139" s="556"/>
      <c r="H139" s="556"/>
      <c r="I139" s="556"/>
      <c r="J139" s="561" t="s">
        <v>83</v>
      </c>
      <c r="K139" s="507"/>
      <c r="L139" s="1"/>
      <c r="M139" s="1"/>
      <c r="N139" s="1"/>
      <c r="O139" s="1"/>
      <c r="P139" s="1"/>
      <c r="Q139" s="1"/>
      <c r="R139" s="1"/>
      <c r="S139" s="1"/>
      <c r="T139" s="1"/>
      <c r="U139" s="1"/>
    </row>
    <row r="140" spans="1:21" s="4" customFormat="1" ht="18" customHeight="1">
      <c r="A140" s="119"/>
      <c r="B140" s="3"/>
      <c r="C140" s="57"/>
      <c r="D140" s="25"/>
      <c r="E140" s="25"/>
      <c r="F140" s="338"/>
      <c r="G140" s="379"/>
      <c r="H140" s="379"/>
      <c r="I140" s="379"/>
      <c r="J140" s="306"/>
      <c r="K140" s="123"/>
      <c r="L140" s="1"/>
      <c r="M140" s="1"/>
      <c r="N140" s="1"/>
      <c r="O140" s="1"/>
      <c r="P140" s="1"/>
      <c r="Q140" s="1"/>
      <c r="R140" s="1"/>
      <c r="S140" s="1"/>
      <c r="T140" s="1"/>
      <c r="U140" s="1"/>
    </row>
    <row r="141" spans="1:21" s="4" customFormat="1" ht="27.75" customHeight="1">
      <c r="A141" s="119">
        <v>11</v>
      </c>
      <c r="B141" s="93" t="s">
        <v>132</v>
      </c>
      <c r="C141" s="94" t="s">
        <v>18</v>
      </c>
      <c r="D141" s="25" t="s">
        <v>316</v>
      </c>
      <c r="E141" s="5"/>
      <c r="F141" s="558">
        <v>56.49</v>
      </c>
      <c r="G141" s="580"/>
      <c r="H141" s="580"/>
      <c r="I141" s="580"/>
      <c r="J141" s="306" t="str">
        <f>C141</f>
        <v>MWh</v>
      </c>
      <c r="K141" s="586"/>
      <c r="L141" s="1"/>
      <c r="M141" s="1"/>
      <c r="N141" s="1"/>
      <c r="O141" s="1"/>
      <c r="P141" s="1"/>
      <c r="Q141" s="1"/>
      <c r="R141" s="1"/>
      <c r="S141" s="1"/>
      <c r="T141" s="1"/>
      <c r="U141" s="1"/>
    </row>
    <row r="142" spans="1:21" s="4" customFormat="1" ht="29.25" customHeight="1">
      <c r="A142" s="119">
        <v>12</v>
      </c>
      <c r="B142" s="93" t="s">
        <v>133</v>
      </c>
      <c r="C142" s="94" t="s">
        <v>18</v>
      </c>
      <c r="D142" s="25" t="s">
        <v>317</v>
      </c>
      <c r="E142" s="5"/>
      <c r="F142" s="558">
        <v>0</v>
      </c>
      <c r="G142" s="580"/>
      <c r="H142" s="580"/>
      <c r="I142" s="580"/>
      <c r="J142" s="306" t="str">
        <f>C142</f>
        <v>MWh</v>
      </c>
      <c r="K142" s="586"/>
      <c r="L142" s="1"/>
      <c r="M142" s="1"/>
      <c r="N142" s="1"/>
      <c r="O142" s="1"/>
      <c r="P142" s="1"/>
      <c r="Q142" s="1"/>
      <c r="R142" s="1"/>
      <c r="S142" s="1"/>
      <c r="T142" s="1"/>
      <c r="U142" s="1"/>
    </row>
    <row r="143" spans="1:21" s="4" customFormat="1" ht="32.25" customHeight="1">
      <c r="A143" s="119">
        <v>13</v>
      </c>
      <c r="B143" s="93" t="s">
        <v>134</v>
      </c>
      <c r="C143" s="94" t="s">
        <v>18</v>
      </c>
      <c r="D143" s="25" t="s">
        <v>318</v>
      </c>
      <c r="E143" s="5"/>
      <c r="F143" s="556">
        <v>0</v>
      </c>
      <c r="G143" s="580"/>
      <c r="H143" s="580"/>
      <c r="I143" s="580"/>
      <c r="J143" s="306" t="str">
        <f>C143</f>
        <v>MWh</v>
      </c>
      <c r="K143" s="586"/>
      <c r="L143" s="1"/>
      <c r="M143" s="1"/>
      <c r="N143" s="1"/>
      <c r="O143" s="1"/>
      <c r="P143" s="1"/>
      <c r="Q143" s="1"/>
      <c r="R143" s="1"/>
      <c r="S143" s="1"/>
      <c r="T143" s="1"/>
      <c r="U143" s="1"/>
    </row>
    <row r="144" spans="1:21" s="4" customFormat="1" ht="18" customHeight="1">
      <c r="A144" s="119"/>
      <c r="B144" s="3"/>
      <c r="C144" s="89"/>
      <c r="D144" s="25"/>
      <c r="E144" s="25"/>
      <c r="F144" s="537"/>
      <c r="G144" s="538"/>
      <c r="H144" s="538"/>
      <c r="I144" s="538"/>
      <c r="J144" s="539"/>
      <c r="K144" s="123"/>
      <c r="L144" s="1"/>
      <c r="M144" s="1"/>
      <c r="N144" s="1"/>
      <c r="O144" s="1"/>
      <c r="P144" s="1"/>
      <c r="Q144" s="1"/>
      <c r="R144" s="1"/>
      <c r="S144" s="1"/>
      <c r="T144" s="1"/>
      <c r="U144" s="1"/>
    </row>
    <row r="145" spans="1:21" s="1" customFormat="1" ht="18" customHeight="1">
      <c r="A145" s="119">
        <v>14</v>
      </c>
      <c r="B145" s="93" t="s">
        <v>135</v>
      </c>
      <c r="C145" s="94" t="s">
        <v>18</v>
      </c>
      <c r="D145" s="25" t="s">
        <v>319</v>
      </c>
      <c r="E145" s="5"/>
      <c r="F145" s="580"/>
      <c r="G145" s="580"/>
      <c r="H145" s="580"/>
      <c r="I145" s="580"/>
      <c r="J145" s="306" t="str">
        <f>C145</f>
        <v>MWh</v>
      </c>
      <c r="K145" s="507"/>
    </row>
    <row r="146" spans="1:21" s="4" customFormat="1" ht="14.1" customHeight="1">
      <c r="A146" s="119">
        <v>15</v>
      </c>
      <c r="B146" s="93" t="s">
        <v>136</v>
      </c>
      <c r="C146" s="94" t="s">
        <v>18</v>
      </c>
      <c r="D146" s="25" t="s">
        <v>320</v>
      </c>
      <c r="E146" s="5"/>
      <c r="F146" s="580"/>
      <c r="G146" s="580"/>
      <c r="H146" s="580"/>
      <c r="I146" s="580"/>
      <c r="J146" s="306" t="str">
        <f>C146</f>
        <v>MWh</v>
      </c>
      <c r="K146" s="507"/>
      <c r="L146" s="1"/>
      <c r="M146" s="1"/>
      <c r="N146" s="1"/>
      <c r="O146" s="1"/>
      <c r="P146" s="1"/>
      <c r="Q146" s="1"/>
      <c r="R146" s="1"/>
      <c r="S146" s="1"/>
      <c r="T146" s="1"/>
      <c r="U146" s="1"/>
    </row>
    <row r="147" spans="1:21" s="1" customFormat="1" ht="18" customHeight="1">
      <c r="A147" s="119">
        <v>16</v>
      </c>
      <c r="B147" s="93" t="s">
        <v>137</v>
      </c>
      <c r="C147" s="94" t="s">
        <v>18</v>
      </c>
      <c r="D147" s="25" t="s">
        <v>321</v>
      </c>
      <c r="E147" s="45"/>
      <c r="F147" s="580"/>
      <c r="G147" s="580"/>
      <c r="H147" s="580"/>
      <c r="I147" s="580"/>
      <c r="J147" s="306" t="str">
        <f>C147</f>
        <v>MWh</v>
      </c>
      <c r="K147" s="507"/>
    </row>
    <row r="148" spans="1:21" s="4" customFormat="1" ht="14.1" customHeight="1">
      <c r="A148" s="119"/>
      <c r="B148" s="3"/>
      <c r="C148" s="57"/>
      <c r="D148" s="25"/>
      <c r="E148" s="25"/>
      <c r="F148" s="338"/>
      <c r="G148" s="379"/>
      <c r="H148" s="379"/>
      <c r="I148" s="379"/>
      <c r="J148" s="306"/>
      <c r="K148" s="123"/>
      <c r="L148" s="1"/>
      <c r="M148" s="1"/>
      <c r="N148" s="1"/>
      <c r="O148" s="1"/>
      <c r="P148" s="1"/>
      <c r="Q148" s="1"/>
      <c r="R148" s="1"/>
      <c r="S148" s="1"/>
      <c r="T148" s="1"/>
      <c r="U148" s="1"/>
    </row>
    <row r="149" spans="1:21" s="4" customFormat="1" ht="14.1" customHeight="1">
      <c r="A149" s="119" t="s">
        <v>725</v>
      </c>
      <c r="B149" s="3" t="s">
        <v>724</v>
      </c>
      <c r="C149" s="57"/>
      <c r="D149" s="25"/>
      <c r="E149" s="25"/>
      <c r="F149" s="338"/>
      <c r="G149" s="379"/>
      <c r="H149" s="379"/>
      <c r="I149" s="379"/>
      <c r="J149" s="306"/>
      <c r="K149" s="123"/>
      <c r="L149" s="1"/>
      <c r="M149" s="1"/>
      <c r="N149" s="1"/>
      <c r="O149" s="1"/>
      <c r="P149" s="1"/>
      <c r="Q149" s="1"/>
      <c r="R149" s="1"/>
      <c r="S149" s="1"/>
      <c r="T149" s="1"/>
      <c r="U149" s="1"/>
    </row>
    <row r="150" spans="1:21" s="4" customFormat="1" ht="14.1" customHeight="1">
      <c r="A150" s="119"/>
      <c r="B150" s="3"/>
      <c r="C150" s="57"/>
      <c r="D150" s="25"/>
      <c r="E150" s="25"/>
      <c r="F150" s="338"/>
      <c r="G150" s="379"/>
      <c r="H150" s="379"/>
      <c r="I150" s="379"/>
      <c r="J150" s="306"/>
      <c r="K150" s="123"/>
      <c r="L150" s="1"/>
      <c r="M150" s="1"/>
      <c r="N150" s="1"/>
      <c r="O150" s="1"/>
      <c r="P150" s="1"/>
      <c r="Q150" s="1"/>
      <c r="R150" s="1"/>
      <c r="S150" s="1"/>
      <c r="T150" s="1"/>
      <c r="U150" s="1"/>
    </row>
    <row r="151" spans="1:21" s="1" customFormat="1" ht="33.75" customHeight="1">
      <c r="A151" s="119">
        <v>17</v>
      </c>
      <c r="B151" s="95" t="s">
        <v>138</v>
      </c>
      <c r="C151" s="94" t="s">
        <v>18</v>
      </c>
      <c r="D151" s="44" t="s">
        <v>261</v>
      </c>
      <c r="E151" s="45"/>
      <c r="F151" s="556">
        <v>80.239999999999995</v>
      </c>
      <c r="G151" s="580"/>
      <c r="H151" s="580"/>
      <c r="I151" s="580"/>
      <c r="J151" s="306" t="str">
        <f>C151</f>
        <v>MWh</v>
      </c>
      <c r="K151" s="507"/>
    </row>
    <row r="152" spans="1:21" s="4" customFormat="1" ht="14.1" customHeight="1">
      <c r="A152" s="119"/>
      <c r="B152" s="3"/>
      <c r="C152" s="57"/>
      <c r="D152" s="25"/>
      <c r="E152" s="25"/>
      <c r="F152" s="546"/>
      <c r="G152" s="547"/>
      <c r="H152" s="547"/>
      <c r="I152" s="547"/>
      <c r="J152" s="306"/>
      <c r="K152" s="123"/>
      <c r="L152" s="1"/>
      <c r="M152" s="1"/>
      <c r="N152" s="1"/>
      <c r="O152" s="1"/>
      <c r="P152" s="1"/>
      <c r="Q152" s="1"/>
      <c r="R152" s="1"/>
      <c r="S152" s="1"/>
      <c r="T152" s="1"/>
      <c r="U152" s="1"/>
    </row>
    <row r="153" spans="1:21" s="1" customFormat="1" ht="27.75" customHeight="1">
      <c r="A153" s="512">
        <v>18</v>
      </c>
      <c r="B153" s="99" t="s">
        <v>262</v>
      </c>
      <c r="C153" s="94" t="s">
        <v>145</v>
      </c>
      <c r="D153" s="44" t="s">
        <v>263</v>
      </c>
      <c r="E153" s="45"/>
      <c r="F153" s="561" t="s">
        <v>163</v>
      </c>
      <c r="G153" s="82"/>
      <c r="H153" s="82"/>
      <c r="I153" s="82"/>
      <c r="J153" s="535"/>
      <c r="K153" s="507"/>
      <c r="L153" s="40"/>
      <c r="M153" s="40"/>
      <c r="N153" s="40"/>
      <c r="O153" s="40"/>
      <c r="P153" s="41"/>
      <c r="Q153" s="41"/>
    </row>
    <row r="154" spans="1:21" s="271" customFormat="1" ht="18" customHeight="1">
      <c r="A154" s="263"/>
      <c r="B154" s="264"/>
      <c r="C154" s="243"/>
      <c r="D154" s="265"/>
      <c r="E154" s="266"/>
      <c r="F154" s="321"/>
      <c r="G154" s="242"/>
      <c r="H154" s="242"/>
      <c r="I154" s="242"/>
      <c r="J154" s="267"/>
      <c r="K154" s="268"/>
      <c r="L154" s="269"/>
      <c r="M154" s="269"/>
      <c r="N154" s="269"/>
      <c r="O154" s="269"/>
      <c r="P154" s="270"/>
      <c r="Q154" s="270"/>
    </row>
    <row r="155" spans="1:21" s="1" customFormat="1" ht="18.75" customHeight="1">
      <c r="A155" s="119"/>
      <c r="B155" s="38"/>
      <c r="C155" s="61"/>
      <c r="D155" s="42"/>
      <c r="E155" s="5"/>
      <c r="F155" s="262"/>
      <c r="G155" s="3"/>
      <c r="H155" s="3"/>
      <c r="I155" s="3"/>
      <c r="J155" s="62"/>
      <c r="K155" s="120"/>
      <c r="L155" s="40"/>
      <c r="M155" s="40"/>
      <c r="N155" s="40"/>
      <c r="O155" s="40"/>
      <c r="P155" s="41"/>
      <c r="Q155" s="41"/>
    </row>
    <row r="156" spans="1:21" s="363" customFormat="1" ht="18" customHeight="1">
      <c r="A156" s="354"/>
      <c r="B156" s="355" t="s">
        <v>158</v>
      </c>
      <c r="C156" s="356"/>
      <c r="D156" s="384"/>
      <c r="E156" s="358"/>
      <c r="F156" s="385" t="s">
        <v>197</v>
      </c>
      <c r="G156" s="359"/>
      <c r="H156" s="359"/>
      <c r="I156" s="359"/>
      <c r="J156" s="390"/>
      <c r="K156" s="361"/>
      <c r="L156" s="362"/>
      <c r="M156" s="362"/>
      <c r="N156" s="362"/>
      <c r="O156" s="362"/>
      <c r="P156" s="362"/>
      <c r="Q156" s="362"/>
      <c r="R156" s="362"/>
      <c r="S156" s="362"/>
      <c r="T156" s="362"/>
      <c r="U156" s="362"/>
    </row>
    <row r="157" spans="1:21" s="4" customFormat="1" ht="14.1" customHeight="1">
      <c r="A157" s="119"/>
      <c r="B157" s="3"/>
      <c r="C157" s="57"/>
      <c r="D157" s="25"/>
      <c r="E157" s="25"/>
      <c r="F157" s="312"/>
      <c r="G157" s="25"/>
      <c r="H157" s="25"/>
      <c r="I157" s="25"/>
      <c r="J157" s="92"/>
      <c r="K157" s="123"/>
      <c r="L157" s="1"/>
      <c r="M157" s="1"/>
      <c r="N157" s="1"/>
      <c r="O157" s="1"/>
      <c r="P157" s="1"/>
      <c r="Q157" s="1"/>
      <c r="R157" s="1"/>
      <c r="S157" s="1"/>
      <c r="T157" s="1"/>
      <c r="U157" s="1"/>
    </row>
    <row r="158" spans="1:21" s="4" customFormat="1" ht="20.25" customHeight="1">
      <c r="A158" s="119"/>
      <c r="B158" s="53" t="s">
        <v>182</v>
      </c>
      <c r="C158" s="57"/>
      <c r="D158" s="25"/>
      <c r="E158" s="5"/>
      <c r="F158" s="262"/>
      <c r="G158" s="31"/>
      <c r="H158" s="3"/>
      <c r="I158" s="3"/>
      <c r="J158" s="67"/>
      <c r="K158" s="123"/>
      <c r="L158" s="3"/>
      <c r="M158" s="3"/>
      <c r="N158" s="3"/>
      <c r="O158" s="1"/>
      <c r="P158" s="1"/>
      <c r="Q158" s="1"/>
      <c r="R158" s="1"/>
      <c r="S158" s="1"/>
      <c r="T158" s="1"/>
      <c r="U158" s="1"/>
    </row>
    <row r="159" spans="1:21" s="4" customFormat="1" ht="20.25" customHeight="1">
      <c r="A159" s="119"/>
      <c r="B159" s="217" t="s">
        <v>2</v>
      </c>
      <c r="C159" s="57"/>
      <c r="D159" s="25"/>
      <c r="E159" s="5"/>
      <c r="F159" s="262"/>
      <c r="G159" s="31"/>
      <c r="H159" s="3"/>
      <c r="I159" s="3"/>
      <c r="J159" s="67"/>
      <c r="K159" s="123"/>
      <c r="L159" s="3"/>
      <c r="M159" s="3"/>
      <c r="N159" s="3"/>
      <c r="O159" s="1"/>
      <c r="P159" s="1"/>
      <c r="Q159" s="1"/>
      <c r="R159" s="1"/>
      <c r="S159" s="1"/>
      <c r="T159" s="1"/>
      <c r="U159" s="1"/>
    </row>
    <row r="160" spans="1:21" s="4" customFormat="1" ht="14.1" customHeight="1">
      <c r="A160" s="119"/>
      <c r="B160" s="3"/>
      <c r="C160" s="57"/>
      <c r="D160" s="25"/>
      <c r="E160" s="25"/>
      <c r="F160" s="312"/>
      <c r="G160" s="25"/>
      <c r="H160" s="25"/>
      <c r="I160" s="25"/>
      <c r="J160" s="92"/>
      <c r="K160" s="123"/>
      <c r="L160" s="1"/>
      <c r="M160" s="1"/>
      <c r="N160" s="1"/>
      <c r="O160" s="1"/>
      <c r="P160" s="1"/>
      <c r="Q160" s="1"/>
      <c r="R160" s="1"/>
      <c r="S160" s="1"/>
      <c r="T160" s="1"/>
      <c r="U160" s="1"/>
    </row>
    <row r="161" spans="1:21" s="4" customFormat="1" ht="36.75" customHeight="1">
      <c r="A161" s="119">
        <v>19</v>
      </c>
      <c r="B161" s="97" t="s">
        <v>157</v>
      </c>
      <c r="C161" s="100" t="s">
        <v>145</v>
      </c>
      <c r="D161" s="25" t="s">
        <v>180</v>
      </c>
      <c r="E161" s="5"/>
      <c r="F161" s="561" t="s">
        <v>163</v>
      </c>
      <c r="G161" s="82"/>
      <c r="H161" s="83"/>
      <c r="I161" s="83"/>
      <c r="J161" s="464"/>
      <c r="K161" s="507"/>
      <c r="L161" s="3"/>
      <c r="M161" s="3"/>
      <c r="N161" s="3"/>
      <c r="O161" s="1"/>
      <c r="P161" s="1"/>
      <c r="Q161" s="1"/>
      <c r="R161" s="1"/>
      <c r="S161" s="1"/>
      <c r="T161" s="1"/>
      <c r="U161" s="1"/>
    </row>
    <row r="162" spans="1:21" s="4" customFormat="1" ht="14.1" customHeight="1">
      <c r="A162" s="119"/>
      <c r="B162" s="3"/>
      <c r="C162" s="57"/>
      <c r="D162" s="25"/>
      <c r="E162" s="25"/>
      <c r="F162" s="338"/>
      <c r="G162" s="379"/>
      <c r="H162" s="379"/>
      <c r="I162" s="379"/>
      <c r="J162" s="306"/>
      <c r="K162" s="123"/>
      <c r="L162" s="1"/>
      <c r="M162" s="1"/>
      <c r="N162" s="1"/>
      <c r="O162" s="1"/>
      <c r="P162" s="1"/>
      <c r="Q162" s="1"/>
      <c r="R162" s="1"/>
      <c r="S162" s="1"/>
      <c r="T162" s="1"/>
      <c r="U162" s="1"/>
    </row>
    <row r="163" spans="1:21" s="4" customFormat="1" ht="35.25" customHeight="1">
      <c r="A163" s="119">
        <v>20</v>
      </c>
      <c r="B163" s="97" t="s">
        <v>140</v>
      </c>
      <c r="C163" s="100" t="s">
        <v>95</v>
      </c>
      <c r="D163" s="25" t="s">
        <v>7</v>
      </c>
      <c r="E163" s="5"/>
      <c r="F163" s="580"/>
      <c r="G163" s="82" t="str">
        <f>C163</f>
        <v>events</v>
      </c>
      <c r="H163" s="83"/>
      <c r="I163" s="83"/>
      <c r="J163" s="535"/>
      <c r="K163" s="507"/>
      <c r="L163" s="1"/>
      <c r="M163" s="1"/>
      <c r="N163" s="1"/>
      <c r="O163" s="1"/>
      <c r="P163" s="1"/>
      <c r="Q163" s="1"/>
      <c r="R163" s="1"/>
      <c r="S163" s="1"/>
      <c r="T163" s="1"/>
      <c r="U163" s="1"/>
    </row>
    <row r="164" spans="1:21" s="4" customFormat="1" ht="35.25" customHeight="1">
      <c r="A164" s="209">
        <v>20.100000000000001</v>
      </c>
      <c r="B164" s="210" t="s">
        <v>8</v>
      </c>
      <c r="C164" s="213" t="s">
        <v>95</v>
      </c>
      <c r="D164" s="211" t="s">
        <v>9</v>
      </c>
      <c r="E164" s="212"/>
      <c r="F164" s="580"/>
      <c r="G164" s="214" t="str">
        <f>C164</f>
        <v>events</v>
      </c>
      <c r="H164" s="83"/>
      <c r="I164" s="83"/>
      <c r="J164" s="535"/>
      <c r="K164" s="507"/>
      <c r="L164" s="1"/>
      <c r="M164" s="1"/>
      <c r="N164" s="1"/>
      <c r="O164" s="1"/>
      <c r="P164" s="1"/>
      <c r="Q164" s="1"/>
      <c r="R164" s="1"/>
      <c r="S164" s="1"/>
      <c r="T164" s="1"/>
      <c r="U164" s="1"/>
    </row>
    <row r="165" spans="1:21" s="4" customFormat="1" ht="35.25" customHeight="1">
      <c r="A165" s="409">
        <v>20.2</v>
      </c>
      <c r="B165" s="406" t="s">
        <v>753</v>
      </c>
      <c r="C165" s="407" t="s">
        <v>738</v>
      </c>
      <c r="D165" s="411" t="s">
        <v>736</v>
      </c>
      <c r="E165" s="212"/>
      <c r="F165" s="580"/>
      <c r="G165" s="408" t="s">
        <v>741</v>
      </c>
      <c r="H165" s="83"/>
      <c r="I165" s="83"/>
      <c r="J165" s="535"/>
      <c r="K165" s="507"/>
      <c r="L165" s="1"/>
      <c r="M165" s="1"/>
      <c r="N165" s="1"/>
      <c r="O165" s="1"/>
      <c r="P165" s="1"/>
      <c r="Q165" s="1"/>
      <c r="R165" s="1"/>
      <c r="S165" s="1"/>
      <c r="T165" s="1"/>
      <c r="U165" s="1"/>
    </row>
    <row r="166" spans="1:21" s="4" customFormat="1" ht="35.25" customHeight="1">
      <c r="A166" s="409">
        <v>20.3</v>
      </c>
      <c r="B166" s="406" t="s">
        <v>754</v>
      </c>
      <c r="C166" s="407" t="s">
        <v>738</v>
      </c>
      <c r="D166" s="411" t="s">
        <v>737</v>
      </c>
      <c r="E166" s="212"/>
      <c r="F166" s="580"/>
      <c r="G166" s="408" t="s">
        <v>741</v>
      </c>
      <c r="H166" s="83"/>
      <c r="I166" s="83"/>
      <c r="J166" s="535"/>
      <c r="K166" s="507"/>
      <c r="L166" s="1"/>
      <c r="M166" s="1"/>
      <c r="N166" s="1"/>
      <c r="O166" s="1"/>
      <c r="P166" s="1"/>
      <c r="Q166" s="1"/>
      <c r="R166" s="1"/>
      <c r="S166" s="1"/>
      <c r="T166" s="1"/>
      <c r="U166" s="1"/>
    </row>
    <row r="167" spans="1:21" s="4" customFormat="1" ht="35.25" customHeight="1">
      <c r="A167" s="209">
        <v>21</v>
      </c>
      <c r="B167" s="352" t="s">
        <v>640</v>
      </c>
      <c r="C167" s="213" t="s">
        <v>580</v>
      </c>
      <c r="D167" s="353" t="s">
        <v>739</v>
      </c>
      <c r="E167" s="212"/>
      <c r="F167" s="580"/>
      <c r="G167" s="214" t="str">
        <f>C167</f>
        <v>cust-mins</v>
      </c>
      <c r="H167" s="83"/>
      <c r="I167" s="83"/>
      <c r="J167" s="536"/>
      <c r="K167" s="507"/>
      <c r="L167" s="1"/>
      <c r="M167" s="1"/>
      <c r="N167" s="1"/>
      <c r="O167" s="1"/>
      <c r="P167" s="1"/>
      <c r="Q167" s="1"/>
      <c r="R167" s="1"/>
      <c r="S167" s="1"/>
      <c r="T167" s="1"/>
      <c r="U167" s="1"/>
    </row>
    <row r="168" spans="1:21" s="4" customFormat="1" ht="35.25" customHeight="1">
      <c r="A168" s="209">
        <v>21.1</v>
      </c>
      <c r="B168" s="352" t="s">
        <v>641</v>
      </c>
      <c r="C168" s="213" t="s">
        <v>580</v>
      </c>
      <c r="D168" s="353" t="s">
        <v>740</v>
      </c>
      <c r="E168" s="212"/>
      <c r="F168" s="580"/>
      <c r="G168" s="214" t="str">
        <f>C168</f>
        <v>cust-mins</v>
      </c>
      <c r="H168" s="83"/>
      <c r="I168" s="83"/>
      <c r="J168" s="536"/>
      <c r="K168" s="507"/>
      <c r="L168" s="1"/>
      <c r="M168" s="1"/>
      <c r="N168" s="1"/>
      <c r="O168" s="1"/>
      <c r="P168" s="1"/>
      <c r="Q168" s="1"/>
      <c r="R168" s="1"/>
      <c r="S168" s="1"/>
      <c r="T168" s="1"/>
      <c r="U168" s="1"/>
    </row>
    <row r="169" spans="1:21" s="4" customFormat="1" ht="18" customHeight="1">
      <c r="A169" s="119">
        <v>22</v>
      </c>
      <c r="B169" s="97" t="s">
        <v>86</v>
      </c>
      <c r="C169" s="94" t="s">
        <v>230</v>
      </c>
      <c r="D169" s="25" t="s">
        <v>264</v>
      </c>
      <c r="E169" s="5"/>
      <c r="F169" s="580"/>
      <c r="G169" s="532" t="s">
        <v>230</v>
      </c>
      <c r="H169" s="83"/>
      <c r="I169" s="83"/>
      <c r="J169" s="375"/>
      <c r="K169" s="507"/>
      <c r="L169" s="1"/>
      <c r="M169" s="1"/>
      <c r="N169" s="1"/>
      <c r="O169" s="1"/>
      <c r="P169" s="1"/>
      <c r="Q169" s="1"/>
      <c r="R169" s="1"/>
      <c r="S169" s="1"/>
      <c r="T169" s="1"/>
      <c r="U169" s="1"/>
    </row>
    <row r="170" spans="1:21" s="4" customFormat="1" ht="18" customHeight="1">
      <c r="A170" s="119">
        <v>23</v>
      </c>
      <c r="B170" s="97" t="s">
        <v>139</v>
      </c>
      <c r="C170" s="94" t="s">
        <v>18</v>
      </c>
      <c r="D170" s="25" t="s">
        <v>265</v>
      </c>
      <c r="E170" s="101"/>
      <c r="F170" s="580"/>
      <c r="G170" s="82" t="str">
        <f>C170</f>
        <v>MWh</v>
      </c>
      <c r="H170" s="83"/>
      <c r="I170" s="83"/>
      <c r="J170" s="375"/>
      <c r="K170" s="507"/>
      <c r="L170" s="1"/>
      <c r="M170" s="1"/>
      <c r="N170" s="1"/>
      <c r="O170" s="1"/>
      <c r="P170" s="1"/>
      <c r="Q170" s="1"/>
      <c r="R170" s="1"/>
      <c r="S170" s="1"/>
      <c r="T170" s="1"/>
      <c r="U170" s="1"/>
    </row>
    <row r="171" spans="1:21" s="4" customFormat="1" ht="18" customHeight="1">
      <c r="A171" s="119"/>
      <c r="B171" s="82"/>
      <c r="C171" s="175"/>
      <c r="D171" s="25"/>
      <c r="E171" s="101"/>
      <c r="F171" s="322"/>
      <c r="G171" s="31"/>
      <c r="H171" s="3"/>
      <c r="I171" s="3"/>
      <c r="J171" s="67"/>
      <c r="K171" s="123"/>
      <c r="L171" s="1"/>
      <c r="M171" s="1"/>
      <c r="N171" s="1"/>
      <c r="O171" s="1"/>
      <c r="P171" s="1"/>
      <c r="Q171" s="1"/>
      <c r="R171" s="1"/>
      <c r="S171" s="1"/>
      <c r="T171" s="1"/>
      <c r="U171" s="1"/>
    </row>
    <row r="172" spans="1:21" s="4" customFormat="1" ht="18" customHeight="1">
      <c r="A172" s="119"/>
      <c r="B172" s="25"/>
      <c r="C172" s="25"/>
      <c r="D172" s="25"/>
      <c r="E172" s="101"/>
      <c r="F172" s="322"/>
      <c r="G172" s="31"/>
      <c r="H172" s="3"/>
      <c r="I172" s="3"/>
      <c r="J172" s="67"/>
      <c r="K172" s="123"/>
      <c r="L172" s="1"/>
      <c r="M172" s="1"/>
      <c r="N172" s="1"/>
      <c r="O172" s="1"/>
      <c r="P172" s="1"/>
      <c r="Q172" s="1"/>
      <c r="R172" s="1"/>
      <c r="S172" s="1"/>
      <c r="T172" s="1"/>
      <c r="U172" s="1"/>
    </row>
    <row r="173" spans="1:21" s="363" customFormat="1" ht="18" customHeight="1">
      <c r="A173" s="354"/>
      <c r="B173" s="383" t="s">
        <v>579</v>
      </c>
      <c r="C173" s="356"/>
      <c r="D173" s="384"/>
      <c r="E173" s="358"/>
      <c r="F173" s="385" t="s">
        <v>198</v>
      </c>
      <c r="G173" s="359"/>
      <c r="H173" s="359"/>
      <c r="I173" s="359"/>
      <c r="J173" s="360"/>
      <c r="K173" s="361"/>
      <c r="L173" s="362"/>
      <c r="M173" s="362"/>
      <c r="N173" s="362"/>
      <c r="O173" s="362"/>
      <c r="P173" s="362"/>
      <c r="Q173" s="362"/>
      <c r="R173" s="362"/>
      <c r="S173" s="362"/>
      <c r="T173" s="362"/>
      <c r="U173" s="362"/>
    </row>
    <row r="174" spans="1:21" s="4" customFormat="1" ht="14.1" customHeight="1">
      <c r="A174" s="119"/>
      <c r="B174" s="83"/>
      <c r="C174" s="57"/>
      <c r="D174" s="25"/>
      <c r="E174" s="25"/>
      <c r="F174" s="312"/>
      <c r="G174" s="25"/>
      <c r="H174" s="25"/>
      <c r="I174" s="25"/>
      <c r="J174" s="92"/>
      <c r="K174" s="123"/>
      <c r="L174" s="1"/>
      <c r="M174" s="1"/>
      <c r="N174" s="1"/>
      <c r="O174" s="1"/>
      <c r="P174" s="1"/>
      <c r="Q174" s="1"/>
      <c r="R174" s="1"/>
      <c r="S174" s="1"/>
      <c r="T174" s="1"/>
      <c r="U174" s="1"/>
    </row>
    <row r="175" spans="1:21" s="4" customFormat="1" ht="30" customHeight="1">
      <c r="A175" s="119"/>
      <c r="B175" s="707" t="s">
        <v>181</v>
      </c>
      <c r="C175" s="707"/>
      <c r="D175" s="25"/>
      <c r="E175" s="5"/>
      <c r="F175" s="262"/>
      <c r="G175" s="31"/>
      <c r="H175" s="3"/>
      <c r="I175" s="3"/>
      <c r="J175" s="68"/>
      <c r="K175" s="123"/>
      <c r="L175" s="1"/>
      <c r="M175" s="1"/>
      <c r="N175" s="1"/>
      <c r="O175" s="1"/>
      <c r="P175" s="1"/>
      <c r="Q175" s="1"/>
      <c r="R175" s="1"/>
      <c r="S175" s="1"/>
      <c r="T175" s="1"/>
      <c r="U175" s="1"/>
    </row>
    <row r="176" spans="1:21" s="4" customFormat="1" ht="18" customHeight="1">
      <c r="A176" s="119"/>
      <c r="B176" s="47" t="s">
        <v>1</v>
      </c>
      <c r="C176" s="57"/>
      <c r="D176" s="48"/>
      <c r="E176" s="5"/>
      <c r="F176" s="262"/>
      <c r="G176" s="31"/>
      <c r="H176" s="3"/>
      <c r="I176" s="3"/>
      <c r="J176" s="68"/>
      <c r="K176" s="123"/>
      <c r="L176" s="1"/>
      <c r="M176" s="1"/>
      <c r="N176" s="1"/>
      <c r="O176" s="1"/>
      <c r="P176" s="1"/>
      <c r="Q176" s="1"/>
      <c r="R176" s="1"/>
      <c r="S176" s="1"/>
      <c r="T176" s="1"/>
      <c r="U176" s="1"/>
    </row>
    <row r="177" spans="1:21" s="4" customFormat="1" ht="51.75" customHeight="1">
      <c r="A177" s="119"/>
      <c r="B177" s="711" t="s">
        <v>742</v>
      </c>
      <c r="C177" s="711"/>
      <c r="D177" s="711"/>
      <c r="E177" s="711"/>
      <c r="F177" s="711"/>
      <c r="G177" s="711"/>
      <c r="H177" s="711"/>
      <c r="I177" s="711"/>
      <c r="J177" s="711"/>
      <c r="K177" s="712"/>
      <c r="L177" s="1"/>
      <c r="M177" s="1"/>
      <c r="N177" s="1"/>
      <c r="O177" s="1"/>
      <c r="P177" s="1"/>
      <c r="Q177" s="1"/>
      <c r="R177" s="1"/>
      <c r="S177" s="1"/>
      <c r="T177" s="1"/>
      <c r="U177" s="1"/>
    </row>
    <row r="178" spans="1:21" s="4" customFormat="1" ht="14.1" customHeight="1">
      <c r="A178" s="119"/>
      <c r="B178" s="83"/>
      <c r="C178" s="57"/>
      <c r="D178" s="25"/>
      <c r="E178" s="25"/>
      <c r="F178" s="312"/>
      <c r="G178" s="25"/>
      <c r="H178" s="25"/>
      <c r="I178" s="25"/>
      <c r="J178" s="92"/>
      <c r="K178" s="123"/>
      <c r="L178" s="1"/>
      <c r="M178" s="1"/>
      <c r="N178" s="1"/>
      <c r="O178" s="1"/>
      <c r="P178" s="1"/>
      <c r="Q178" s="1"/>
      <c r="R178" s="1"/>
      <c r="S178" s="1"/>
      <c r="T178" s="1"/>
      <c r="U178" s="1"/>
    </row>
    <row r="179" spans="1:21" s="4" customFormat="1" ht="45" customHeight="1">
      <c r="A179" s="119">
        <v>24</v>
      </c>
      <c r="B179" s="103" t="s">
        <v>749</v>
      </c>
      <c r="C179" s="102" t="s">
        <v>95</v>
      </c>
      <c r="D179" s="25" t="s">
        <v>267</v>
      </c>
      <c r="E179" s="5"/>
      <c r="F179" s="557">
        <v>55</v>
      </c>
      <c r="G179" s="82" t="str">
        <f>C179</f>
        <v>events</v>
      </c>
      <c r="H179" s="83"/>
      <c r="I179" s="83"/>
      <c r="J179" s="376"/>
      <c r="K179" s="548"/>
      <c r="L179" s="1"/>
      <c r="M179" s="1"/>
      <c r="N179" s="1"/>
      <c r="O179" s="1"/>
      <c r="P179" s="1"/>
      <c r="Q179" s="1"/>
      <c r="R179" s="1"/>
      <c r="S179" s="1"/>
      <c r="T179" s="1"/>
      <c r="U179" s="1"/>
    </row>
    <row r="180" spans="1:21" s="4" customFormat="1" ht="39" customHeight="1">
      <c r="A180" s="209">
        <v>24.1</v>
      </c>
      <c r="B180" s="352" t="s">
        <v>750</v>
      </c>
      <c r="C180" s="219" t="s">
        <v>95</v>
      </c>
      <c r="D180" s="211" t="s">
        <v>4</v>
      </c>
      <c r="E180" s="212"/>
      <c r="F180" s="587">
        <v>0</v>
      </c>
      <c r="G180" s="214" t="str">
        <f>C180</f>
        <v>events</v>
      </c>
      <c r="H180" s="83"/>
      <c r="I180" s="83"/>
      <c r="J180" s="376"/>
      <c r="K180" s="507"/>
      <c r="L180" s="1"/>
      <c r="M180" s="1"/>
      <c r="N180" s="1"/>
      <c r="O180" s="1"/>
      <c r="P180" s="1"/>
      <c r="Q180" s="1"/>
      <c r="R180" s="1"/>
      <c r="S180" s="1"/>
      <c r="T180" s="1"/>
      <c r="U180" s="1"/>
    </row>
    <row r="181" spans="1:21" s="4" customFormat="1" ht="39" customHeight="1">
      <c r="A181" s="209">
        <v>24.2</v>
      </c>
      <c r="B181" s="352" t="s">
        <v>751</v>
      </c>
      <c r="C181" s="219" t="s">
        <v>95</v>
      </c>
      <c r="D181" s="211" t="s">
        <v>6</v>
      </c>
      <c r="E181" s="212"/>
      <c r="F181" s="587">
        <v>15</v>
      </c>
      <c r="G181" s="214" t="str">
        <f>C181</f>
        <v>events</v>
      </c>
      <c r="H181" s="83"/>
      <c r="I181" s="83"/>
      <c r="J181" s="376"/>
      <c r="K181" s="507"/>
      <c r="L181" s="1"/>
      <c r="M181" s="1"/>
      <c r="N181" s="1"/>
      <c r="O181" s="1"/>
      <c r="P181" s="1"/>
      <c r="Q181" s="1"/>
      <c r="R181" s="1"/>
      <c r="S181" s="1"/>
      <c r="T181" s="1"/>
      <c r="U181" s="1"/>
    </row>
    <row r="182" spans="1:21" s="4" customFormat="1" ht="39" customHeight="1">
      <c r="A182" s="209">
        <v>24.3</v>
      </c>
      <c r="B182" s="352" t="s">
        <v>752</v>
      </c>
      <c r="C182" s="219" t="s">
        <v>95</v>
      </c>
      <c r="D182" s="211" t="s">
        <v>5</v>
      </c>
      <c r="E182" s="212"/>
      <c r="F182" s="587">
        <v>0</v>
      </c>
      <c r="G182" s="214" t="str">
        <f>C182</f>
        <v>events</v>
      </c>
      <c r="H182" s="83"/>
      <c r="I182" s="83"/>
      <c r="J182" s="376"/>
      <c r="K182" s="507"/>
      <c r="L182" s="1"/>
      <c r="M182" s="1"/>
      <c r="N182" s="1"/>
      <c r="O182" s="1"/>
      <c r="P182" s="1"/>
      <c r="Q182" s="1"/>
      <c r="R182" s="1"/>
      <c r="S182" s="1"/>
      <c r="T182" s="1"/>
      <c r="U182" s="1"/>
    </row>
    <row r="183" spans="1:21" s="4" customFormat="1" ht="18" customHeight="1">
      <c r="A183" s="119">
        <v>25</v>
      </c>
      <c r="B183" s="80" t="s">
        <v>87</v>
      </c>
      <c r="C183" s="102" t="s">
        <v>230</v>
      </c>
      <c r="D183" s="25" t="s">
        <v>266</v>
      </c>
      <c r="E183" s="5"/>
      <c r="F183" s="557">
        <v>45</v>
      </c>
      <c r="G183" s="532" t="s">
        <v>229</v>
      </c>
      <c r="H183" s="83"/>
      <c r="I183" s="83"/>
      <c r="J183" s="376"/>
      <c r="K183" s="507"/>
      <c r="L183" s="1"/>
      <c r="M183" s="1"/>
      <c r="N183" s="1"/>
      <c r="O183" s="1"/>
      <c r="P183" s="1"/>
      <c r="Q183" s="1"/>
      <c r="R183" s="1"/>
      <c r="S183" s="1"/>
      <c r="T183" s="1"/>
      <c r="U183" s="1"/>
    </row>
    <row r="184" spans="1:21" s="4" customFormat="1" ht="18" customHeight="1">
      <c r="A184" s="119">
        <v>26</v>
      </c>
      <c r="B184" s="80" t="s">
        <v>88</v>
      </c>
      <c r="C184" s="102" t="s">
        <v>17</v>
      </c>
      <c r="D184" s="25" t="s">
        <v>268</v>
      </c>
      <c r="E184" s="5"/>
      <c r="F184" s="588">
        <v>10</v>
      </c>
      <c r="G184" s="82" t="str">
        <f>C184</f>
        <v>MVA</v>
      </c>
      <c r="H184" s="83"/>
      <c r="I184" s="83"/>
      <c r="J184" s="533"/>
      <c r="K184" s="507"/>
      <c r="L184" s="1"/>
      <c r="M184" s="1"/>
      <c r="N184" s="1"/>
      <c r="O184" s="1"/>
      <c r="P184" s="1"/>
      <c r="Q184" s="1"/>
      <c r="R184" s="1"/>
      <c r="S184" s="1"/>
      <c r="T184" s="1"/>
      <c r="U184" s="1"/>
    </row>
    <row r="185" spans="1:21" s="4" customFormat="1" ht="14.1" customHeight="1">
      <c r="A185" s="119"/>
      <c r="B185" s="381"/>
      <c r="C185" s="57"/>
      <c r="D185" s="25"/>
      <c r="E185" s="25"/>
      <c r="F185" s="25"/>
      <c r="G185" s="379"/>
      <c r="H185" s="379"/>
      <c r="I185" s="379"/>
      <c r="J185" s="306"/>
      <c r="K185" s="123"/>
      <c r="L185" s="1"/>
      <c r="M185" s="1"/>
      <c r="N185" s="1"/>
      <c r="O185" s="1"/>
      <c r="P185" s="1"/>
      <c r="Q185" s="1"/>
      <c r="R185" s="1"/>
      <c r="S185" s="1"/>
      <c r="T185" s="1"/>
      <c r="U185" s="1"/>
    </row>
    <row r="186" spans="1:21" s="4" customFormat="1" ht="32.25" customHeight="1">
      <c r="A186" s="209">
        <v>27</v>
      </c>
      <c r="B186" s="352" t="s">
        <v>718</v>
      </c>
      <c r="C186" s="215" t="s">
        <v>580</v>
      </c>
      <c r="D186" s="353" t="s">
        <v>716</v>
      </c>
      <c r="E186" s="216"/>
      <c r="F186" s="589">
        <v>2363543</v>
      </c>
      <c r="G186" s="214" t="str">
        <f>C186</f>
        <v>cust-mins</v>
      </c>
      <c r="H186" s="83"/>
      <c r="I186" s="83"/>
      <c r="J186" s="376"/>
      <c r="K186" s="507"/>
      <c r="L186" s="1"/>
      <c r="M186" s="1"/>
      <c r="N186" s="1"/>
      <c r="O186" s="1"/>
      <c r="P186" s="1"/>
      <c r="Q186" s="1"/>
      <c r="R186" s="1"/>
      <c r="S186" s="1"/>
      <c r="T186" s="1"/>
      <c r="U186" s="1"/>
    </row>
    <row r="187" spans="1:21" s="4" customFormat="1" ht="32.25" customHeight="1">
      <c r="A187" s="209">
        <v>27.1</v>
      </c>
      <c r="B187" s="352" t="s">
        <v>719</v>
      </c>
      <c r="C187" s="213" t="s">
        <v>580</v>
      </c>
      <c r="D187" s="353" t="s">
        <v>717</v>
      </c>
      <c r="E187" s="216"/>
      <c r="F187" s="589">
        <v>0</v>
      </c>
      <c r="G187" s="214" t="str">
        <f>C187</f>
        <v>cust-mins</v>
      </c>
      <c r="H187" s="83"/>
      <c r="I187" s="83"/>
      <c r="J187" s="376"/>
      <c r="K187" s="507"/>
      <c r="L187" s="1"/>
      <c r="M187" s="1"/>
      <c r="N187" s="1"/>
      <c r="O187" s="1"/>
      <c r="P187" s="1"/>
      <c r="Q187" s="1"/>
      <c r="R187" s="1"/>
      <c r="S187" s="1"/>
      <c r="T187" s="1"/>
      <c r="U187" s="1"/>
    </row>
    <row r="188" spans="1:21" s="4" customFormat="1" ht="32.25" customHeight="1">
      <c r="A188" s="409">
        <v>27.2</v>
      </c>
      <c r="B188" s="406" t="s">
        <v>743</v>
      </c>
      <c r="C188" s="407" t="s">
        <v>738</v>
      </c>
      <c r="D188" s="411" t="s">
        <v>736</v>
      </c>
      <c r="E188" s="212"/>
      <c r="F188" s="589">
        <v>8645</v>
      </c>
      <c r="G188" s="408" t="s">
        <v>741</v>
      </c>
      <c r="H188" s="83"/>
      <c r="I188" s="83"/>
      <c r="J188" s="376"/>
      <c r="K188" s="507" t="s">
        <v>798</v>
      </c>
      <c r="L188" s="1"/>
      <c r="M188" s="1"/>
      <c r="N188" s="1"/>
      <c r="O188" s="1"/>
      <c r="P188" s="1"/>
      <c r="Q188" s="1"/>
      <c r="R188" s="1"/>
      <c r="S188" s="1"/>
      <c r="T188" s="1"/>
      <c r="U188" s="1"/>
    </row>
    <row r="189" spans="1:21" s="4" customFormat="1" ht="32.25" customHeight="1">
      <c r="A189" s="409">
        <v>27.3</v>
      </c>
      <c r="B189" s="406" t="s">
        <v>744</v>
      </c>
      <c r="C189" s="407" t="s">
        <v>738</v>
      </c>
      <c r="D189" s="411" t="s">
        <v>737</v>
      </c>
      <c r="E189" s="212"/>
      <c r="F189" s="589">
        <v>0</v>
      </c>
      <c r="G189" s="408" t="s">
        <v>741</v>
      </c>
      <c r="H189" s="83"/>
      <c r="I189" s="83"/>
      <c r="J189" s="376"/>
      <c r="K189" s="507" t="s">
        <v>798</v>
      </c>
      <c r="L189" s="1"/>
      <c r="M189" s="1"/>
      <c r="N189" s="1"/>
      <c r="O189" s="1"/>
      <c r="P189" s="1"/>
      <c r="Q189" s="1"/>
      <c r="R189" s="1"/>
      <c r="S189" s="1"/>
      <c r="T189" s="1"/>
      <c r="U189" s="1"/>
    </row>
    <row r="190" spans="1:21" s="4" customFormat="1" ht="14.1" customHeight="1">
      <c r="A190" s="119"/>
      <c r="B190" s="381"/>
      <c r="C190" s="57"/>
      <c r="D190" s="25"/>
      <c r="E190" s="25"/>
      <c r="F190" s="338"/>
      <c r="G190" s="379"/>
      <c r="H190" s="379"/>
      <c r="I190" s="379"/>
      <c r="J190" s="306"/>
      <c r="K190" s="123"/>
      <c r="L190" s="1"/>
      <c r="M190" s="1"/>
      <c r="N190" s="1"/>
      <c r="O190" s="1"/>
      <c r="P190" s="1"/>
      <c r="Q190" s="1"/>
      <c r="R190" s="1"/>
      <c r="S190" s="1"/>
      <c r="T190" s="1"/>
      <c r="U190" s="1"/>
    </row>
    <row r="191" spans="1:21" s="4" customFormat="1" ht="36" customHeight="1">
      <c r="A191" s="209">
        <v>28</v>
      </c>
      <c r="B191" s="352" t="s">
        <v>720</v>
      </c>
      <c r="C191" s="208" t="s">
        <v>580</v>
      </c>
      <c r="D191" s="353" t="s">
        <v>722</v>
      </c>
      <c r="E191" s="216"/>
      <c r="F191" s="589">
        <v>2189143</v>
      </c>
      <c r="G191" s="214" t="str">
        <f>C191</f>
        <v>cust-mins</v>
      </c>
      <c r="H191" s="83"/>
      <c r="I191" s="83"/>
      <c r="J191" s="534"/>
      <c r="K191" s="507"/>
      <c r="L191" s="1"/>
      <c r="M191" s="1"/>
      <c r="N191" s="1"/>
      <c r="O191" s="1"/>
      <c r="P191" s="1"/>
      <c r="Q191" s="1"/>
      <c r="R191" s="1"/>
      <c r="S191" s="1"/>
      <c r="T191" s="1"/>
      <c r="U191" s="1"/>
    </row>
    <row r="192" spans="1:21" s="4" customFormat="1" ht="33.75" customHeight="1">
      <c r="A192" s="209">
        <v>28.1</v>
      </c>
      <c r="B192" s="352" t="s">
        <v>721</v>
      </c>
      <c r="C192" s="208" t="s">
        <v>580</v>
      </c>
      <c r="D192" s="353" t="s">
        <v>723</v>
      </c>
      <c r="E192" s="216"/>
      <c r="F192" s="589">
        <v>0</v>
      </c>
      <c r="G192" s="214" t="str">
        <f>C192</f>
        <v>cust-mins</v>
      </c>
      <c r="H192" s="379"/>
      <c r="I192" s="379"/>
      <c r="J192" s="306"/>
      <c r="K192" s="507"/>
      <c r="L192" s="1"/>
      <c r="M192" s="1"/>
      <c r="N192" s="1"/>
      <c r="O192" s="1"/>
      <c r="P192" s="1"/>
      <c r="Q192" s="1"/>
      <c r="R192" s="1"/>
      <c r="S192" s="1"/>
      <c r="T192" s="1"/>
      <c r="U192" s="1"/>
    </row>
    <row r="193" spans="1:21" s="4" customFormat="1" ht="32.25" customHeight="1">
      <c r="A193" s="409">
        <v>28.2</v>
      </c>
      <c r="B193" s="406" t="s">
        <v>745</v>
      </c>
      <c r="C193" s="407" t="s">
        <v>738</v>
      </c>
      <c r="D193" s="411" t="s">
        <v>747</v>
      </c>
      <c r="E193" s="212"/>
      <c r="F193" s="589">
        <v>32233</v>
      </c>
      <c r="G193" s="408" t="s">
        <v>741</v>
      </c>
      <c r="H193" s="83"/>
      <c r="I193" s="83"/>
      <c r="J193" s="376"/>
      <c r="K193" s="507" t="s">
        <v>798</v>
      </c>
      <c r="L193" s="1"/>
      <c r="M193" s="1"/>
      <c r="N193" s="1"/>
      <c r="O193" s="1"/>
      <c r="P193" s="1"/>
      <c r="Q193" s="1"/>
      <c r="R193" s="1"/>
      <c r="S193" s="1"/>
      <c r="T193" s="1"/>
      <c r="U193" s="1"/>
    </row>
    <row r="194" spans="1:21" s="4" customFormat="1" ht="32.25" customHeight="1">
      <c r="A194" s="409">
        <v>28.3</v>
      </c>
      <c r="B194" s="406" t="s">
        <v>746</v>
      </c>
      <c r="C194" s="407" t="s">
        <v>738</v>
      </c>
      <c r="D194" s="411" t="s">
        <v>748</v>
      </c>
      <c r="E194" s="212"/>
      <c r="F194" s="589">
        <v>0</v>
      </c>
      <c r="G194" s="408" t="s">
        <v>741</v>
      </c>
      <c r="H194" s="83"/>
      <c r="I194" s="83"/>
      <c r="J194" s="376"/>
      <c r="K194" s="507" t="s">
        <v>798</v>
      </c>
      <c r="L194" s="1"/>
      <c r="M194" s="1"/>
      <c r="N194" s="1"/>
      <c r="O194" s="1"/>
      <c r="P194" s="1"/>
      <c r="Q194" s="1"/>
      <c r="R194" s="1"/>
      <c r="S194" s="1"/>
      <c r="T194" s="1"/>
      <c r="U194" s="1"/>
    </row>
    <row r="195" spans="1:21" s="4" customFormat="1" ht="9.75" customHeight="1">
      <c r="A195" s="126"/>
      <c r="B195" s="127"/>
      <c r="C195" s="128"/>
      <c r="D195" s="129"/>
      <c r="E195" s="129"/>
      <c r="F195" s="324"/>
      <c r="G195" s="129"/>
      <c r="H195" s="129"/>
      <c r="I195" s="129"/>
      <c r="J195" s="130"/>
      <c r="K195" s="131"/>
      <c r="L195" s="1"/>
      <c r="M195" s="1"/>
      <c r="N195" s="1"/>
      <c r="O195" s="1"/>
      <c r="P195" s="1"/>
      <c r="Q195" s="1"/>
      <c r="R195" s="1"/>
      <c r="S195" s="1"/>
      <c r="T195" s="1"/>
      <c r="U195" s="1"/>
    </row>
    <row r="196" spans="1:21" s="4" customFormat="1" ht="14.1" customHeight="1">
      <c r="A196" s="111" t="s">
        <v>196</v>
      </c>
      <c r="B196" s="112" t="s">
        <v>331</v>
      </c>
      <c r="C196" s="113" t="s">
        <v>15</v>
      </c>
      <c r="D196" s="114" t="s">
        <v>165</v>
      </c>
      <c r="E196" s="115"/>
      <c r="F196" s="318" t="s">
        <v>330</v>
      </c>
      <c r="G196" s="116"/>
      <c r="H196" s="116"/>
      <c r="I196" s="116"/>
      <c r="J196" s="117"/>
      <c r="K196" s="118" t="s">
        <v>76</v>
      </c>
      <c r="L196" s="1"/>
      <c r="M196" s="1"/>
      <c r="N196" s="1"/>
      <c r="O196" s="1"/>
      <c r="P196" s="1"/>
      <c r="Q196" s="1"/>
      <c r="R196" s="1"/>
      <c r="S196" s="1"/>
      <c r="T196" s="1"/>
      <c r="U196" s="1"/>
    </row>
    <row r="197" spans="1:21" s="4" customFormat="1" ht="15.75" customHeight="1">
      <c r="A197" s="119"/>
      <c r="B197" s="3"/>
      <c r="C197" s="57"/>
      <c r="D197" s="25"/>
      <c r="E197" s="25"/>
      <c r="F197" s="312"/>
      <c r="G197" s="25"/>
      <c r="H197" s="25"/>
      <c r="I197" s="25"/>
      <c r="J197" s="92"/>
      <c r="K197" s="123"/>
      <c r="L197" s="1"/>
      <c r="M197" s="1"/>
      <c r="N197" s="1"/>
      <c r="O197" s="1"/>
      <c r="P197" s="1"/>
      <c r="Q197" s="1"/>
      <c r="R197" s="1"/>
      <c r="S197" s="1"/>
      <c r="T197" s="1"/>
      <c r="U197" s="1"/>
    </row>
    <row r="198" spans="1:21" s="363" customFormat="1" ht="18" customHeight="1">
      <c r="A198" s="354"/>
      <c r="B198" s="386" t="s">
        <v>79</v>
      </c>
      <c r="C198" s="356"/>
      <c r="D198" s="357"/>
      <c r="E198" s="358"/>
      <c r="F198" s="387" t="s">
        <v>217</v>
      </c>
      <c r="G198" s="359"/>
      <c r="H198" s="359"/>
      <c r="I198" s="359"/>
      <c r="J198" s="388"/>
      <c r="K198" s="361"/>
      <c r="L198" s="362"/>
      <c r="M198" s="362"/>
      <c r="N198" s="362"/>
      <c r="O198" s="362"/>
      <c r="P198" s="362"/>
      <c r="Q198" s="362"/>
      <c r="R198" s="362"/>
      <c r="S198" s="362"/>
      <c r="T198" s="362"/>
      <c r="U198" s="362"/>
    </row>
    <row r="199" spans="1:21" s="4" customFormat="1" ht="14.1" customHeight="1">
      <c r="A199" s="119"/>
      <c r="B199" s="3"/>
      <c r="C199" s="57"/>
      <c r="D199" s="25"/>
      <c r="E199" s="25"/>
      <c r="F199" s="312"/>
      <c r="G199" s="25"/>
      <c r="H199" s="25"/>
      <c r="I199" s="25"/>
      <c r="J199" s="92"/>
      <c r="K199" s="123"/>
      <c r="L199" s="1"/>
      <c r="M199" s="1"/>
      <c r="N199" s="1"/>
      <c r="O199" s="1"/>
      <c r="P199" s="1"/>
      <c r="Q199" s="1"/>
      <c r="R199" s="1"/>
      <c r="S199" s="1"/>
      <c r="T199" s="1"/>
      <c r="U199" s="1"/>
    </row>
    <row r="200" spans="1:21" s="4" customFormat="1" ht="70.5" customHeight="1">
      <c r="A200" s="119">
        <v>29</v>
      </c>
      <c r="B200" s="103" t="s">
        <v>176</v>
      </c>
      <c r="C200" s="104" t="s">
        <v>145</v>
      </c>
      <c r="D200" s="74" t="s">
        <v>0</v>
      </c>
      <c r="E200" s="5"/>
      <c r="F200" s="561" t="s">
        <v>162</v>
      </c>
      <c r="G200" s="82"/>
      <c r="H200" s="83"/>
      <c r="I200" s="83"/>
      <c r="J200" s="521"/>
      <c r="K200" s="507"/>
      <c r="L200" s="1"/>
      <c r="M200" s="1"/>
      <c r="N200" s="1"/>
      <c r="O200" s="1"/>
      <c r="P200" s="1"/>
      <c r="Q200" s="1"/>
      <c r="R200" s="1"/>
      <c r="S200" s="1"/>
      <c r="T200" s="1"/>
      <c r="U200" s="1"/>
    </row>
    <row r="201" spans="1:21" s="4" customFormat="1" ht="14.1" customHeight="1">
      <c r="A201" s="119"/>
      <c r="B201" s="3"/>
      <c r="C201" s="57"/>
      <c r="D201" s="25"/>
      <c r="E201" s="25"/>
      <c r="F201" s="338"/>
      <c r="G201" s="379"/>
      <c r="H201" s="379"/>
      <c r="I201" s="379"/>
      <c r="J201" s="306"/>
      <c r="K201" s="123"/>
      <c r="L201" s="1"/>
      <c r="M201" s="1"/>
      <c r="N201" s="1"/>
      <c r="O201" s="1"/>
      <c r="P201" s="1"/>
      <c r="Q201" s="1"/>
      <c r="R201" s="1"/>
      <c r="S201" s="1"/>
      <c r="T201" s="1"/>
      <c r="U201" s="1"/>
    </row>
    <row r="202" spans="1:21" s="4" customFormat="1" ht="18" customHeight="1">
      <c r="A202" s="119" t="s">
        <v>554</v>
      </c>
      <c r="B202" s="134" t="s">
        <v>175</v>
      </c>
      <c r="C202" s="102" t="s">
        <v>145</v>
      </c>
      <c r="D202" s="76"/>
      <c r="E202" s="5"/>
      <c r="F202" s="561" t="s">
        <v>162</v>
      </c>
      <c r="G202" s="82"/>
      <c r="H202" s="83"/>
      <c r="I202" s="83"/>
      <c r="J202" s="521"/>
      <c r="K202" s="507"/>
      <c r="L202" s="1"/>
      <c r="M202" s="1"/>
      <c r="N202" s="1"/>
      <c r="O202" s="1"/>
      <c r="P202" s="1"/>
      <c r="Q202" s="1"/>
      <c r="R202" s="1"/>
      <c r="S202" s="1"/>
      <c r="T202" s="1"/>
      <c r="U202" s="1"/>
    </row>
    <row r="203" spans="1:21" s="4" customFormat="1" ht="18" customHeight="1">
      <c r="A203" s="119" t="s">
        <v>555</v>
      </c>
      <c r="B203" s="134" t="s">
        <v>177</v>
      </c>
      <c r="C203" s="102" t="s">
        <v>145</v>
      </c>
      <c r="D203" s="76"/>
      <c r="E203" s="5"/>
      <c r="F203" s="561" t="s">
        <v>145</v>
      </c>
      <c r="G203" s="82"/>
      <c r="H203" s="83"/>
      <c r="I203" s="83"/>
      <c r="J203" s="521"/>
      <c r="K203" s="507"/>
      <c r="L203" s="1"/>
      <c r="M203" s="1"/>
      <c r="N203" s="1"/>
      <c r="O203" s="1"/>
      <c r="P203" s="1"/>
      <c r="Q203" s="1"/>
      <c r="R203" s="1"/>
      <c r="S203" s="1"/>
      <c r="T203" s="1"/>
      <c r="U203" s="1"/>
    </row>
    <row r="204" spans="1:21" s="4" customFormat="1" ht="18" customHeight="1">
      <c r="A204" s="119" t="s">
        <v>556</v>
      </c>
      <c r="B204" s="134" t="s">
        <v>142</v>
      </c>
      <c r="C204" s="102" t="s">
        <v>145</v>
      </c>
      <c r="D204" s="25"/>
      <c r="E204" s="5"/>
      <c r="F204" s="561" t="s">
        <v>145</v>
      </c>
      <c r="G204" s="82"/>
      <c r="H204" s="83"/>
      <c r="I204" s="83"/>
      <c r="J204" s="521"/>
      <c r="K204" s="507"/>
      <c r="L204" s="1"/>
      <c r="M204" s="1"/>
      <c r="N204" s="1"/>
      <c r="O204" s="1"/>
      <c r="P204" s="1"/>
      <c r="Q204" s="1"/>
      <c r="R204" s="1"/>
      <c r="S204" s="1"/>
      <c r="T204" s="1"/>
      <c r="U204" s="1"/>
    </row>
    <row r="205" spans="1:21" s="4" customFormat="1" ht="18" customHeight="1">
      <c r="A205" s="119" t="s">
        <v>557</v>
      </c>
      <c r="B205" s="134" t="s">
        <v>144</v>
      </c>
      <c r="C205" s="102" t="s">
        <v>145</v>
      </c>
      <c r="D205" s="25"/>
      <c r="E205" s="5"/>
      <c r="F205" s="561" t="s">
        <v>145</v>
      </c>
      <c r="G205" s="82"/>
      <c r="H205" s="83"/>
      <c r="I205" s="83"/>
      <c r="J205" s="521"/>
      <c r="K205" s="507"/>
      <c r="L205" s="1"/>
      <c r="M205" s="1"/>
      <c r="N205" s="1"/>
      <c r="O205" s="1"/>
      <c r="P205" s="1"/>
      <c r="Q205" s="1"/>
      <c r="R205" s="1"/>
      <c r="S205" s="1"/>
      <c r="T205" s="1"/>
      <c r="U205" s="1"/>
    </row>
    <row r="206" spans="1:21" s="4" customFormat="1" ht="18" customHeight="1">
      <c r="A206" s="119" t="s">
        <v>558</v>
      </c>
      <c r="B206" s="134" t="s">
        <v>143</v>
      </c>
      <c r="C206" s="102" t="s">
        <v>145</v>
      </c>
      <c r="D206" s="25"/>
      <c r="E206" s="5"/>
      <c r="F206" s="561" t="s">
        <v>145</v>
      </c>
      <c r="G206" s="82"/>
      <c r="H206" s="83"/>
      <c r="I206" s="83"/>
      <c r="J206" s="521"/>
      <c r="K206" s="507"/>
      <c r="L206" s="1"/>
      <c r="M206" s="1"/>
      <c r="N206" s="1"/>
      <c r="O206" s="1"/>
      <c r="P206" s="1"/>
      <c r="Q206" s="1"/>
      <c r="R206" s="1"/>
      <c r="S206" s="1"/>
      <c r="T206" s="1"/>
      <c r="U206" s="1"/>
    </row>
    <row r="207" spans="1:21" s="4" customFormat="1" ht="18" customHeight="1">
      <c r="A207" s="119" t="s">
        <v>559</v>
      </c>
      <c r="B207" s="135" t="s">
        <v>146</v>
      </c>
      <c r="C207" s="102" t="s">
        <v>145</v>
      </c>
      <c r="D207" s="25"/>
      <c r="E207" s="5"/>
      <c r="F207" s="561" t="s">
        <v>145</v>
      </c>
      <c r="G207" s="82"/>
      <c r="H207" s="83"/>
      <c r="I207" s="83"/>
      <c r="J207" s="521"/>
      <c r="K207" s="507"/>
      <c r="L207" s="1"/>
      <c r="M207" s="1"/>
      <c r="N207" s="1"/>
      <c r="O207" s="1"/>
      <c r="P207" s="1"/>
      <c r="Q207" s="1"/>
      <c r="R207" s="1"/>
      <c r="S207" s="1"/>
      <c r="T207" s="1"/>
      <c r="U207" s="1"/>
    </row>
    <row r="208" spans="1:21" s="4" customFormat="1" ht="18" customHeight="1">
      <c r="A208" s="119" t="s">
        <v>560</v>
      </c>
      <c r="B208" s="135" t="s">
        <v>147</v>
      </c>
      <c r="C208" s="102" t="s">
        <v>145</v>
      </c>
      <c r="D208" s="25"/>
      <c r="E208" s="5"/>
      <c r="F208" s="561" t="s">
        <v>162</v>
      </c>
      <c r="G208" s="82"/>
      <c r="H208" s="83"/>
      <c r="I208" s="83"/>
      <c r="J208" s="521"/>
      <c r="K208" s="507"/>
      <c r="L208" s="1"/>
      <c r="M208" s="1"/>
      <c r="N208" s="1"/>
      <c r="O208" s="1"/>
      <c r="P208" s="1"/>
      <c r="Q208" s="1"/>
      <c r="R208" s="1"/>
      <c r="S208" s="1"/>
      <c r="T208" s="1"/>
      <c r="U208" s="1"/>
    </row>
    <row r="209" spans="1:21" s="4" customFormat="1" ht="18" customHeight="1">
      <c r="A209" s="119" t="s">
        <v>561</v>
      </c>
      <c r="B209" s="135" t="s">
        <v>149</v>
      </c>
      <c r="C209" s="102" t="s">
        <v>145</v>
      </c>
      <c r="D209" s="25" t="s">
        <v>274</v>
      </c>
      <c r="E209" s="5"/>
      <c r="F209" s="561" t="s">
        <v>145</v>
      </c>
      <c r="G209" s="529" t="s">
        <v>167</v>
      </c>
      <c r="H209" s="83"/>
      <c r="I209" s="83"/>
      <c r="J209" s="521"/>
      <c r="K209" s="507"/>
      <c r="L209" s="1"/>
      <c r="M209" s="1"/>
      <c r="N209" s="1"/>
      <c r="O209" s="1"/>
      <c r="P209" s="1"/>
      <c r="Q209" s="1"/>
      <c r="R209" s="1"/>
      <c r="S209" s="1"/>
      <c r="T209" s="1"/>
      <c r="U209" s="1"/>
    </row>
    <row r="210" spans="1:21" s="4" customFormat="1" ht="18" customHeight="1">
      <c r="A210" s="119" t="s">
        <v>562</v>
      </c>
      <c r="B210" s="135" t="s">
        <v>150</v>
      </c>
      <c r="C210" s="102" t="s">
        <v>145</v>
      </c>
      <c r="D210" s="25" t="s">
        <v>274</v>
      </c>
      <c r="E210" s="5"/>
      <c r="F210" s="561" t="s">
        <v>145</v>
      </c>
      <c r="G210" s="529" t="s">
        <v>168</v>
      </c>
      <c r="H210" s="83"/>
      <c r="I210" s="83"/>
      <c r="J210" s="521"/>
      <c r="K210" s="507"/>
      <c r="L210" s="1"/>
      <c r="M210" s="1"/>
      <c r="N210" s="1"/>
      <c r="O210" s="1"/>
      <c r="P210" s="1"/>
      <c r="Q210" s="1"/>
      <c r="R210" s="1"/>
      <c r="S210" s="1"/>
      <c r="T210" s="1"/>
      <c r="U210" s="1"/>
    </row>
    <row r="211" spans="1:21" s="4" customFormat="1" ht="18" customHeight="1">
      <c r="A211" s="119" t="s">
        <v>563</v>
      </c>
      <c r="B211" s="135" t="s">
        <v>153</v>
      </c>
      <c r="C211" s="102" t="s">
        <v>145</v>
      </c>
      <c r="D211" s="25" t="s">
        <v>274</v>
      </c>
      <c r="E211" s="5"/>
      <c r="F211" s="561" t="s">
        <v>145</v>
      </c>
      <c r="G211" s="529" t="s">
        <v>169</v>
      </c>
      <c r="H211" s="83"/>
      <c r="I211" s="83"/>
      <c r="J211" s="521"/>
      <c r="K211" s="507"/>
      <c r="L211" s="1"/>
      <c r="M211" s="1"/>
      <c r="N211" s="1"/>
      <c r="O211" s="1"/>
      <c r="P211" s="1"/>
      <c r="Q211" s="1"/>
      <c r="R211" s="1"/>
      <c r="S211" s="1"/>
      <c r="T211" s="1"/>
      <c r="U211" s="1"/>
    </row>
    <row r="212" spans="1:21" s="4" customFormat="1" ht="18" customHeight="1">
      <c r="A212" s="119" t="s">
        <v>564</v>
      </c>
      <c r="B212" s="135" t="s">
        <v>152</v>
      </c>
      <c r="C212" s="102" t="s">
        <v>145</v>
      </c>
      <c r="D212" s="25" t="s">
        <v>274</v>
      </c>
      <c r="E212" s="5"/>
      <c r="F212" s="561" t="s">
        <v>145</v>
      </c>
      <c r="G212" s="529" t="s">
        <v>170</v>
      </c>
      <c r="H212" s="83"/>
      <c r="I212" s="83"/>
      <c r="J212" s="521"/>
      <c r="K212" s="507"/>
      <c r="L212" s="1"/>
      <c r="M212" s="1"/>
      <c r="N212" s="1"/>
      <c r="O212" s="1"/>
      <c r="P212" s="1"/>
      <c r="Q212" s="1"/>
      <c r="R212" s="1"/>
      <c r="S212" s="1"/>
      <c r="T212" s="1"/>
      <c r="U212" s="1"/>
    </row>
    <row r="213" spans="1:21" s="4" customFormat="1" ht="18" customHeight="1">
      <c r="A213" s="119" t="s">
        <v>565</v>
      </c>
      <c r="B213" s="135" t="s">
        <v>151</v>
      </c>
      <c r="C213" s="102" t="s">
        <v>145</v>
      </c>
      <c r="D213" s="25" t="s">
        <v>274</v>
      </c>
      <c r="E213" s="5"/>
      <c r="F213" s="561" t="s">
        <v>145</v>
      </c>
      <c r="G213" s="529" t="s">
        <v>171</v>
      </c>
      <c r="H213" s="83"/>
      <c r="I213" s="83"/>
      <c r="J213" s="521"/>
      <c r="K213" s="507"/>
      <c r="L213" s="1"/>
      <c r="M213" s="1"/>
      <c r="N213" s="1"/>
      <c r="O213" s="1"/>
      <c r="P213" s="1"/>
      <c r="Q213" s="1"/>
      <c r="R213" s="1"/>
      <c r="S213" s="1"/>
      <c r="T213" s="1"/>
      <c r="U213" s="1"/>
    </row>
    <row r="214" spans="1:21" s="4" customFormat="1" ht="14.1" customHeight="1">
      <c r="A214" s="119"/>
      <c r="B214" s="3"/>
      <c r="C214" s="57"/>
      <c r="D214" s="25"/>
      <c r="E214" s="25"/>
      <c r="F214" s="338"/>
      <c r="G214" s="379"/>
      <c r="H214" s="379"/>
      <c r="I214" s="379"/>
      <c r="J214" s="306"/>
      <c r="K214" s="123"/>
      <c r="L214" s="1"/>
      <c r="M214" s="1"/>
      <c r="N214" s="1"/>
      <c r="O214" s="1"/>
      <c r="P214" s="1"/>
      <c r="Q214" s="1"/>
      <c r="R214" s="1"/>
      <c r="S214" s="1"/>
      <c r="T214" s="1"/>
      <c r="U214" s="1"/>
    </row>
    <row r="215" spans="1:21" s="4" customFormat="1" ht="18" customHeight="1">
      <c r="A215" s="119">
        <v>30</v>
      </c>
      <c r="B215" s="106" t="s">
        <v>173</v>
      </c>
      <c r="C215" s="497" t="str">
        <f>$D$54</f>
        <v>USD</v>
      </c>
      <c r="D215" s="25" t="s">
        <v>270</v>
      </c>
      <c r="E215" s="5"/>
      <c r="F215" s="580">
        <v>0</v>
      </c>
      <c r="G215" s="83" t="str">
        <f>$D$54</f>
        <v>USD</v>
      </c>
      <c r="H215" s="83"/>
      <c r="I215" s="83"/>
      <c r="J215" s="522"/>
      <c r="K215" s="507"/>
      <c r="L215" s="1"/>
      <c r="M215" s="1"/>
      <c r="N215" s="1"/>
      <c r="O215" s="1"/>
      <c r="P215" s="1"/>
      <c r="Q215" s="1"/>
      <c r="R215" s="1"/>
      <c r="S215" s="1"/>
      <c r="T215" s="1"/>
      <c r="U215" s="1"/>
    </row>
    <row r="216" spans="1:21" s="4" customFormat="1" ht="18" customHeight="1">
      <c r="A216" s="119">
        <v>31</v>
      </c>
      <c r="B216" s="95" t="s">
        <v>174</v>
      </c>
      <c r="C216" s="94" t="s">
        <v>94</v>
      </c>
      <c r="D216" s="25" t="s">
        <v>271</v>
      </c>
      <c r="E216" s="5"/>
      <c r="F216" s="580">
        <v>0</v>
      </c>
      <c r="G216" s="83" t="str">
        <f>C216</f>
        <v>employees</v>
      </c>
      <c r="H216" s="83"/>
      <c r="I216" s="83"/>
      <c r="J216" s="522"/>
      <c r="K216" s="507"/>
      <c r="L216" s="1"/>
      <c r="M216" s="1"/>
      <c r="N216" s="1"/>
      <c r="O216" s="1"/>
      <c r="P216" s="1"/>
      <c r="Q216" s="1"/>
      <c r="R216" s="1"/>
      <c r="S216" s="1"/>
      <c r="T216" s="1"/>
      <c r="U216" s="1"/>
    </row>
    <row r="217" spans="1:21" s="4" customFormat="1" ht="18" customHeight="1">
      <c r="A217" s="119">
        <v>32</v>
      </c>
      <c r="B217" s="95" t="s">
        <v>148</v>
      </c>
      <c r="C217" s="94" t="s">
        <v>172</v>
      </c>
      <c r="D217" s="25" t="s">
        <v>272</v>
      </c>
      <c r="E217" s="5"/>
      <c r="F217" s="580">
        <v>0</v>
      </c>
      <c r="G217" s="530" t="str">
        <f>C217</f>
        <v>MWh (total)</v>
      </c>
      <c r="H217" s="83"/>
      <c r="I217" s="83"/>
      <c r="J217" s="518"/>
      <c r="K217" s="507"/>
      <c r="L217" s="1"/>
      <c r="M217" s="1"/>
      <c r="N217" s="1"/>
      <c r="O217" s="1"/>
      <c r="P217" s="1"/>
      <c r="Q217" s="1"/>
      <c r="R217" s="1"/>
      <c r="S217" s="1"/>
      <c r="T217" s="1"/>
      <c r="U217" s="1"/>
    </row>
    <row r="218" spans="1:21" s="4" customFormat="1" ht="18" customHeight="1">
      <c r="A218" s="119"/>
      <c r="B218" s="25"/>
      <c r="C218" s="25"/>
      <c r="D218" s="25"/>
      <c r="E218" s="5"/>
      <c r="F218" s="379"/>
      <c r="G218" s="530"/>
      <c r="H218" s="83"/>
      <c r="I218" s="83"/>
      <c r="J218" s="518"/>
      <c r="K218" s="507"/>
      <c r="L218" s="1"/>
      <c r="M218" s="1"/>
      <c r="N218" s="1"/>
      <c r="O218" s="1"/>
      <c r="P218" s="1"/>
      <c r="Q218" s="1"/>
      <c r="R218" s="1"/>
      <c r="S218" s="1"/>
      <c r="T218" s="1"/>
      <c r="U218" s="1"/>
    </row>
    <row r="219" spans="1:21" s="4" customFormat="1" ht="18" customHeight="1">
      <c r="A219" s="512">
        <v>33</v>
      </c>
      <c r="B219" s="95" t="s">
        <v>154</v>
      </c>
      <c r="C219" s="94"/>
      <c r="D219" s="25" t="s">
        <v>273</v>
      </c>
      <c r="E219" s="5"/>
      <c r="F219" s="590" t="s">
        <v>670</v>
      </c>
      <c r="G219" s="530"/>
      <c r="H219" s="83"/>
      <c r="I219" s="83"/>
      <c r="J219" s="531"/>
      <c r="K219" s="507"/>
      <c r="L219" s="1"/>
      <c r="M219" s="1"/>
      <c r="N219" s="1"/>
      <c r="O219" s="1"/>
      <c r="P219" s="1"/>
      <c r="Q219" s="1"/>
      <c r="R219" s="1"/>
      <c r="S219" s="1"/>
      <c r="T219" s="1"/>
      <c r="U219" s="1"/>
    </row>
    <row r="220" spans="1:21" s="4" customFormat="1" ht="15.75" customHeight="1">
      <c r="A220" s="119"/>
      <c r="B220" s="3"/>
      <c r="C220" s="57"/>
      <c r="D220" s="25"/>
      <c r="E220" s="25"/>
      <c r="F220" s="312"/>
      <c r="G220" s="25"/>
      <c r="H220" s="25"/>
      <c r="I220" s="25"/>
      <c r="J220" s="92"/>
      <c r="K220" s="123"/>
      <c r="L220" s="1"/>
      <c r="M220" s="1"/>
      <c r="N220" s="1"/>
      <c r="O220" s="1"/>
      <c r="P220" s="1"/>
      <c r="Q220" s="1"/>
      <c r="R220" s="1"/>
      <c r="S220" s="1"/>
      <c r="T220" s="1"/>
      <c r="U220" s="1"/>
    </row>
    <row r="221" spans="1:21" s="363" customFormat="1" ht="18" customHeight="1">
      <c r="A221" s="354"/>
      <c r="B221" s="355" t="s">
        <v>141</v>
      </c>
      <c r="C221" s="356"/>
      <c r="D221" s="357"/>
      <c r="E221" s="358"/>
      <c r="F221" s="387" t="s">
        <v>201</v>
      </c>
      <c r="G221" s="391"/>
      <c r="H221" s="391"/>
      <c r="I221" s="391"/>
      <c r="J221" s="392"/>
      <c r="K221" s="361"/>
      <c r="L221" s="362"/>
      <c r="M221" s="362"/>
      <c r="N221" s="362"/>
      <c r="O221" s="362"/>
      <c r="P221" s="362"/>
      <c r="Q221" s="362"/>
      <c r="R221" s="362"/>
      <c r="S221" s="362"/>
      <c r="T221" s="362"/>
      <c r="U221" s="362"/>
    </row>
    <row r="222" spans="1:21">
      <c r="A222" s="498"/>
      <c r="B222" s="11"/>
      <c r="C222" s="56"/>
      <c r="D222" s="26"/>
      <c r="E222" s="52"/>
      <c r="F222" s="309"/>
      <c r="G222" s="11"/>
      <c r="H222" s="11"/>
      <c r="I222" s="11"/>
      <c r="J222" s="273"/>
      <c r="K222" s="500"/>
    </row>
    <row r="223" spans="1:21" s="4" customFormat="1" ht="33.75" customHeight="1">
      <c r="A223" s="119">
        <v>34</v>
      </c>
      <c r="B223" s="97" t="s">
        <v>101</v>
      </c>
      <c r="C223" s="104" t="s">
        <v>73</v>
      </c>
      <c r="D223" s="25" t="s">
        <v>275</v>
      </c>
      <c r="E223" s="5"/>
      <c r="F223" s="591">
        <v>0</v>
      </c>
      <c r="G223" s="382" t="s">
        <v>73</v>
      </c>
      <c r="H223" s="83"/>
      <c r="I223" s="83"/>
      <c r="J223" s="522"/>
      <c r="K223" s="507"/>
      <c r="L223" s="1"/>
      <c r="M223" s="1"/>
      <c r="N223" s="1"/>
      <c r="O223" s="1"/>
      <c r="P223" s="1"/>
      <c r="Q223" s="1"/>
      <c r="R223" s="1"/>
      <c r="S223" s="1"/>
      <c r="T223" s="1"/>
      <c r="U223" s="1"/>
    </row>
    <row r="224" spans="1:21" s="4" customFormat="1" ht="18" customHeight="1">
      <c r="A224" s="119">
        <v>35</v>
      </c>
      <c r="B224" s="93" t="s">
        <v>103</v>
      </c>
      <c r="C224" s="102" t="s">
        <v>161</v>
      </c>
      <c r="D224" s="25" t="s">
        <v>278</v>
      </c>
      <c r="E224" s="5"/>
      <c r="F224" s="592">
        <v>0</v>
      </c>
      <c r="G224" s="382" t="s">
        <v>161</v>
      </c>
      <c r="H224" s="83"/>
      <c r="I224" s="83"/>
      <c r="J224" s="522"/>
      <c r="K224" s="507"/>
      <c r="L224" s="1"/>
      <c r="M224" s="1"/>
      <c r="N224" s="1"/>
      <c r="O224" s="1"/>
      <c r="P224" s="1"/>
      <c r="Q224" s="1"/>
      <c r="R224" s="1"/>
      <c r="S224" s="1"/>
      <c r="T224" s="1"/>
      <c r="U224" s="1"/>
    </row>
    <row r="225" spans="1:21" s="4" customFormat="1" ht="18" customHeight="1">
      <c r="A225" s="119">
        <v>36</v>
      </c>
      <c r="B225" s="93" t="s">
        <v>102</v>
      </c>
      <c r="C225" s="102" t="s">
        <v>94</v>
      </c>
      <c r="D225" s="25" t="s">
        <v>277</v>
      </c>
      <c r="E225" s="5"/>
      <c r="F225" s="592">
        <v>24</v>
      </c>
      <c r="G225" s="382" t="s">
        <v>94</v>
      </c>
      <c r="H225" s="83"/>
      <c r="I225" s="83"/>
      <c r="J225" s="526"/>
      <c r="K225" s="507"/>
      <c r="L225" s="1"/>
      <c r="M225" s="1"/>
      <c r="N225" s="1"/>
      <c r="O225" s="1"/>
      <c r="P225" s="1"/>
      <c r="Q225" s="1"/>
      <c r="R225" s="1"/>
      <c r="S225" s="1"/>
      <c r="T225" s="1"/>
      <c r="U225" s="1"/>
    </row>
    <row r="226" spans="1:21" s="4" customFormat="1" ht="18" customHeight="1">
      <c r="A226" s="119">
        <v>37</v>
      </c>
      <c r="B226" s="95" t="s">
        <v>183</v>
      </c>
      <c r="C226" s="94" t="s">
        <v>94</v>
      </c>
      <c r="D226" s="25" t="s">
        <v>183</v>
      </c>
      <c r="E226" s="5"/>
      <c r="F226" s="527">
        <f>D47</f>
        <v>41913</v>
      </c>
      <c r="G226" s="592">
        <v>11</v>
      </c>
      <c r="H226" s="81" t="s">
        <v>94</v>
      </c>
      <c r="I226" s="83"/>
      <c r="J226" s="376"/>
      <c r="K226" s="507"/>
      <c r="L226" s="1"/>
      <c r="M226" s="1"/>
      <c r="N226" s="1"/>
      <c r="O226" s="1"/>
      <c r="P226" s="1"/>
      <c r="Q226" s="1"/>
      <c r="R226" s="1"/>
      <c r="S226" s="1"/>
      <c r="T226" s="1"/>
      <c r="U226" s="1"/>
    </row>
    <row r="227" spans="1:21" s="4" customFormat="1" ht="18" customHeight="1">
      <c r="A227" s="119">
        <v>38</v>
      </c>
      <c r="B227" s="95" t="s">
        <v>184</v>
      </c>
      <c r="C227" s="94" t="s">
        <v>94</v>
      </c>
      <c r="D227" s="25" t="s">
        <v>184</v>
      </c>
      <c r="E227" s="5"/>
      <c r="F227" s="527">
        <f>D48</f>
        <v>42277</v>
      </c>
      <c r="G227" s="592">
        <v>9</v>
      </c>
      <c r="H227" s="81" t="s">
        <v>94</v>
      </c>
      <c r="I227" s="83"/>
      <c r="J227" s="376"/>
      <c r="K227" s="507"/>
      <c r="L227" s="1"/>
      <c r="M227" s="1"/>
      <c r="N227" s="1"/>
      <c r="O227" s="1"/>
      <c r="P227" s="1"/>
      <c r="Q227" s="1"/>
      <c r="R227" s="1"/>
      <c r="S227" s="1"/>
      <c r="T227" s="1"/>
      <c r="U227" s="1"/>
    </row>
    <row r="228" spans="1:21">
      <c r="A228" s="498"/>
      <c r="B228" s="11"/>
      <c r="C228" s="56"/>
      <c r="D228" s="26"/>
      <c r="E228" s="52"/>
      <c r="F228" s="517"/>
      <c r="G228" s="518"/>
      <c r="H228" s="518"/>
      <c r="I228" s="518"/>
      <c r="J228" s="520"/>
      <c r="K228" s="508"/>
    </row>
    <row r="229" spans="1:21" s="4" customFormat="1" ht="18" customHeight="1">
      <c r="A229" s="119">
        <v>39</v>
      </c>
      <c r="B229" s="93" t="s">
        <v>104</v>
      </c>
      <c r="C229" s="102" t="s">
        <v>77</v>
      </c>
      <c r="D229" s="25" t="s">
        <v>279</v>
      </c>
      <c r="E229" s="5"/>
      <c r="F229" s="702">
        <v>48873.5</v>
      </c>
      <c r="G229" s="382" t="s">
        <v>77</v>
      </c>
      <c r="H229" s="83"/>
      <c r="I229" s="83"/>
      <c r="J229" s="522"/>
      <c r="K229" s="507"/>
      <c r="L229" s="1"/>
      <c r="M229" s="1"/>
      <c r="N229" s="1"/>
      <c r="O229" s="1"/>
      <c r="P229" s="1"/>
      <c r="Q229" s="1"/>
      <c r="R229" s="1"/>
      <c r="S229" s="1"/>
      <c r="T229" s="1"/>
      <c r="U229" s="1"/>
    </row>
    <row r="230" spans="1:21">
      <c r="A230" s="498"/>
      <c r="B230" s="11"/>
      <c r="C230" s="56"/>
      <c r="D230" s="26"/>
      <c r="E230" s="52"/>
      <c r="F230" s="4"/>
      <c r="G230" s="518"/>
      <c r="H230" s="518"/>
      <c r="I230" s="518"/>
      <c r="J230" s="520"/>
      <c r="K230" s="500"/>
    </row>
    <row r="231" spans="1:21" s="1" customFormat="1" ht="18" customHeight="1">
      <c r="A231" s="119">
        <v>40</v>
      </c>
      <c r="B231" s="95" t="s">
        <v>85</v>
      </c>
      <c r="C231" s="94" t="s">
        <v>77</v>
      </c>
      <c r="D231" s="44" t="s">
        <v>260</v>
      </c>
      <c r="E231" s="45"/>
      <c r="F231" s="702">
        <v>16176.5</v>
      </c>
      <c r="G231" s="564"/>
      <c r="H231" s="564"/>
      <c r="I231" s="564"/>
      <c r="J231" s="306" t="str">
        <f>C231</f>
        <v>hrs</v>
      </c>
      <c r="K231" s="507"/>
    </row>
    <row r="232" spans="1:21" s="4" customFormat="1" ht="18" customHeight="1">
      <c r="A232" s="119">
        <v>41</v>
      </c>
      <c r="B232" s="95" t="s">
        <v>186</v>
      </c>
      <c r="C232" s="94" t="s">
        <v>77</v>
      </c>
      <c r="D232" s="25" t="s">
        <v>322</v>
      </c>
      <c r="E232" s="5"/>
      <c r="F232" s="702">
        <v>10756.5</v>
      </c>
      <c r="G232" s="528" t="str">
        <f>C232</f>
        <v>hrs</v>
      </c>
      <c r="H232" s="81"/>
      <c r="I232" s="83"/>
      <c r="J232" s="376"/>
      <c r="K232" s="507"/>
      <c r="L232" s="1"/>
      <c r="M232" s="1"/>
      <c r="N232" s="1"/>
      <c r="O232" s="1"/>
      <c r="P232" s="1"/>
      <c r="Q232" s="1"/>
      <c r="R232" s="1"/>
      <c r="S232" s="1"/>
      <c r="T232" s="1"/>
      <c r="U232" s="1"/>
    </row>
    <row r="233" spans="1:21" s="4" customFormat="1" ht="57" customHeight="1">
      <c r="A233" s="119">
        <v>42</v>
      </c>
      <c r="B233" s="93" t="s">
        <v>276</v>
      </c>
      <c r="C233" s="104" t="s">
        <v>77</v>
      </c>
      <c r="D233" s="25" t="s">
        <v>280</v>
      </c>
      <c r="E233" s="5"/>
      <c r="F233" s="592">
        <f>F229+10837</f>
        <v>59710.5</v>
      </c>
      <c r="G233" s="382" t="s">
        <v>77</v>
      </c>
      <c r="H233" s="83"/>
      <c r="I233" s="83"/>
      <c r="J233" s="522"/>
      <c r="K233" s="507"/>
      <c r="L233" s="1"/>
      <c r="M233" s="1"/>
      <c r="N233" s="1"/>
      <c r="O233" s="1"/>
      <c r="P233" s="1"/>
      <c r="Q233" s="1"/>
      <c r="R233" s="1"/>
      <c r="S233" s="1"/>
      <c r="T233" s="1"/>
      <c r="U233" s="1"/>
    </row>
    <row r="234" spans="1:21" s="1" customFormat="1" ht="18.75" customHeight="1">
      <c r="A234" s="119"/>
      <c r="B234" s="38"/>
      <c r="C234" s="61"/>
      <c r="D234" s="42"/>
      <c r="E234" s="5"/>
      <c r="F234" s="262"/>
      <c r="G234" s="3"/>
      <c r="H234" s="3"/>
      <c r="I234" s="3"/>
      <c r="J234" s="62"/>
      <c r="K234" s="120"/>
      <c r="L234" s="40"/>
      <c r="M234" s="40"/>
      <c r="N234" s="40"/>
      <c r="O234" s="40"/>
      <c r="P234" s="41"/>
      <c r="Q234" s="41"/>
    </row>
    <row r="235" spans="1:21" s="363" customFormat="1" ht="18" customHeight="1">
      <c r="A235" s="354"/>
      <c r="B235" s="355" t="s">
        <v>232</v>
      </c>
      <c r="C235" s="549"/>
      <c r="D235" s="357"/>
      <c r="E235" s="358"/>
      <c r="F235" s="550" t="s">
        <v>645</v>
      </c>
      <c r="G235" s="359"/>
      <c r="H235" s="359"/>
      <c r="I235" s="359"/>
      <c r="J235" s="360"/>
      <c r="K235" s="361"/>
      <c r="L235" s="362"/>
      <c r="M235" s="362"/>
      <c r="N235" s="362"/>
      <c r="O235" s="362"/>
      <c r="P235" s="362"/>
      <c r="Q235" s="362"/>
      <c r="R235" s="362"/>
      <c r="S235" s="362"/>
      <c r="T235" s="362"/>
      <c r="U235" s="362"/>
    </row>
    <row r="236" spans="1:21" s="22" customFormat="1" ht="13.5" customHeight="1">
      <c r="A236" s="121"/>
      <c r="B236" s="88"/>
      <c r="C236" s="89"/>
      <c r="D236" s="74"/>
      <c r="E236" s="90"/>
      <c r="F236" s="319"/>
      <c r="G236" s="28"/>
      <c r="H236" s="28"/>
      <c r="I236" s="28"/>
      <c r="J236" s="107"/>
      <c r="K236" s="122"/>
      <c r="L236" s="30"/>
      <c r="M236" s="30"/>
      <c r="N236" s="30"/>
      <c r="O236" s="30"/>
      <c r="P236" s="30"/>
      <c r="Q236" s="30"/>
      <c r="R236" s="30"/>
      <c r="S236" s="30"/>
      <c r="T236" s="30"/>
      <c r="U236" s="30"/>
    </row>
    <row r="237" spans="1:21" s="4" customFormat="1" ht="13.5" hidden="1" customHeight="1">
      <c r="A237" s="119"/>
      <c r="B237" s="3"/>
      <c r="C237" s="57"/>
      <c r="D237" s="25"/>
      <c r="E237" s="25"/>
      <c r="F237" s="312" t="s">
        <v>218</v>
      </c>
      <c r="G237" s="25" t="s">
        <v>219</v>
      </c>
      <c r="H237" s="25" t="s">
        <v>220</v>
      </c>
      <c r="I237" s="25" t="s">
        <v>221</v>
      </c>
      <c r="J237" s="92"/>
      <c r="K237" s="123"/>
      <c r="L237" s="1"/>
      <c r="M237" s="1"/>
      <c r="N237" s="1"/>
      <c r="O237" s="1"/>
      <c r="P237" s="1"/>
      <c r="Q237" s="1"/>
      <c r="R237" s="1"/>
      <c r="S237" s="1"/>
      <c r="T237" s="1"/>
      <c r="U237" s="1"/>
    </row>
    <row r="238" spans="1:21" s="4" customFormat="1" ht="18" customHeight="1">
      <c r="A238" s="119">
        <v>43</v>
      </c>
      <c r="B238" s="93" t="s">
        <v>81</v>
      </c>
      <c r="C238" s="102" t="s">
        <v>18</v>
      </c>
      <c r="D238" s="25" t="s">
        <v>281</v>
      </c>
      <c r="E238" s="5"/>
      <c r="F238" s="693">
        <v>4561</v>
      </c>
      <c r="G238" s="591"/>
      <c r="H238" s="591"/>
      <c r="I238" s="556"/>
      <c r="J238" s="521" t="str">
        <f>C238</f>
        <v>MWh</v>
      </c>
      <c r="K238" s="507"/>
      <c r="L238" s="1"/>
      <c r="M238" s="1"/>
      <c r="N238" s="1"/>
      <c r="O238" s="1"/>
      <c r="P238" s="1"/>
      <c r="Q238" s="1"/>
      <c r="R238" s="1"/>
      <c r="S238" s="1"/>
      <c r="T238" s="1"/>
      <c r="U238" s="1"/>
    </row>
    <row r="239" spans="1:21" s="4" customFormat="1" ht="8.25" customHeight="1">
      <c r="A239" s="119"/>
      <c r="B239" s="3"/>
      <c r="C239" s="57"/>
      <c r="D239" s="25"/>
      <c r="E239" s="25"/>
      <c r="F239" s="338"/>
      <c r="G239" s="379"/>
      <c r="H239" s="379"/>
      <c r="I239" s="379"/>
      <c r="J239" s="306"/>
      <c r="K239" s="123"/>
      <c r="L239" s="1"/>
      <c r="M239" s="1"/>
      <c r="N239" s="1"/>
      <c r="O239" s="1"/>
      <c r="P239" s="1"/>
      <c r="Q239" s="1"/>
      <c r="R239" s="1"/>
      <c r="S239" s="1"/>
      <c r="T239" s="1"/>
      <c r="U239" s="1"/>
    </row>
    <row r="240" spans="1:21" s="84" customFormat="1" ht="35.25" customHeight="1">
      <c r="A240" s="364">
        <v>44.1</v>
      </c>
      <c r="B240" s="369" t="s">
        <v>648</v>
      </c>
      <c r="C240" s="370" t="s">
        <v>105</v>
      </c>
      <c r="D240" s="371" t="s">
        <v>652</v>
      </c>
      <c r="E240" s="372"/>
      <c r="F240" s="373">
        <f>D47</f>
        <v>41913</v>
      </c>
      <c r="G240" s="591">
        <v>1757</v>
      </c>
      <c r="H240" s="374" t="str">
        <f>C240</f>
        <v>connections</v>
      </c>
      <c r="I240" s="83"/>
      <c r="J240" s="375"/>
      <c r="K240" s="507" t="s">
        <v>798</v>
      </c>
      <c r="L240" s="79"/>
      <c r="M240" s="79"/>
      <c r="N240" s="79"/>
      <c r="O240" s="79"/>
      <c r="P240" s="79"/>
      <c r="Q240" s="79"/>
      <c r="R240" s="79"/>
      <c r="S240" s="79"/>
      <c r="T240" s="79"/>
      <c r="U240" s="79"/>
    </row>
    <row r="241" spans="1:21" s="84" customFormat="1" ht="36.75" customHeight="1">
      <c r="A241" s="364">
        <v>44.2</v>
      </c>
      <c r="B241" s="369" t="s">
        <v>649</v>
      </c>
      <c r="C241" s="370" t="s">
        <v>105</v>
      </c>
      <c r="D241" s="371" t="s">
        <v>653</v>
      </c>
      <c r="E241" s="372"/>
      <c r="F241" s="373">
        <f>D48</f>
        <v>42277</v>
      </c>
      <c r="G241" s="591">
        <v>1729</v>
      </c>
      <c r="H241" s="374" t="str">
        <f>C241</f>
        <v>connections</v>
      </c>
      <c r="I241" s="83"/>
      <c r="J241" s="376"/>
      <c r="K241" s="507" t="s">
        <v>798</v>
      </c>
      <c r="L241" s="79"/>
      <c r="M241" s="79"/>
      <c r="N241" s="79"/>
      <c r="O241" s="79"/>
      <c r="P241" s="79"/>
      <c r="Q241" s="79"/>
      <c r="R241" s="79"/>
      <c r="S241" s="79"/>
      <c r="T241" s="79"/>
      <c r="U241" s="79"/>
    </row>
    <row r="242" spans="1:21" s="84" customFormat="1" ht="7.5" customHeight="1">
      <c r="A242" s="364"/>
      <c r="B242" s="377"/>
      <c r="C242" s="374"/>
      <c r="D242" s="371"/>
      <c r="E242" s="371"/>
      <c r="F242" s="378"/>
      <c r="G242" s="371"/>
      <c r="H242" s="371"/>
      <c r="I242" s="379"/>
      <c r="J242" s="306"/>
      <c r="K242" s="380"/>
      <c r="L242" s="79"/>
      <c r="M242" s="79"/>
      <c r="N242" s="79"/>
      <c r="O242" s="79"/>
      <c r="P242" s="79"/>
      <c r="Q242" s="79"/>
      <c r="R242" s="79"/>
      <c r="S242" s="79"/>
      <c r="T242" s="79"/>
      <c r="U242" s="79"/>
    </row>
    <row r="243" spans="1:21" s="84" customFormat="1" ht="35.25" customHeight="1">
      <c r="A243" s="364">
        <v>45.1</v>
      </c>
      <c r="B243" s="369" t="s">
        <v>646</v>
      </c>
      <c r="C243" s="370" t="s">
        <v>105</v>
      </c>
      <c r="D243" s="371" t="s">
        <v>650</v>
      </c>
      <c r="E243" s="372"/>
      <c r="F243" s="373">
        <f>D47</f>
        <v>41913</v>
      </c>
      <c r="G243" s="556">
        <v>1757</v>
      </c>
      <c r="H243" s="374" t="str">
        <f>C243</f>
        <v>connections</v>
      </c>
      <c r="I243" s="83"/>
      <c r="J243" s="375"/>
      <c r="K243" s="509"/>
      <c r="L243" s="79"/>
      <c r="M243" s="79"/>
      <c r="N243" s="79"/>
      <c r="O243" s="79"/>
      <c r="P243" s="79"/>
      <c r="Q243" s="79"/>
      <c r="R243" s="79"/>
      <c r="S243" s="79"/>
      <c r="T243" s="79"/>
      <c r="U243" s="79"/>
    </row>
    <row r="244" spans="1:21" s="84" customFormat="1" ht="36.75" customHeight="1">
      <c r="A244" s="364">
        <v>45.2</v>
      </c>
      <c r="B244" s="369" t="s">
        <v>647</v>
      </c>
      <c r="C244" s="370" t="s">
        <v>105</v>
      </c>
      <c r="D244" s="371" t="s">
        <v>651</v>
      </c>
      <c r="E244" s="372"/>
      <c r="F244" s="373">
        <f>D48</f>
        <v>42277</v>
      </c>
      <c r="G244" s="556">
        <v>1729</v>
      </c>
      <c r="H244" s="374" t="str">
        <f>C244</f>
        <v>connections</v>
      </c>
      <c r="I244" s="83"/>
      <c r="J244" s="376"/>
      <c r="K244" s="509"/>
      <c r="L244" s="79"/>
      <c r="M244" s="79"/>
      <c r="N244" s="79"/>
      <c r="O244" s="79"/>
      <c r="P244" s="79"/>
      <c r="Q244" s="79"/>
      <c r="R244" s="79"/>
      <c r="S244" s="79"/>
      <c r="T244" s="79"/>
      <c r="U244" s="79"/>
    </row>
    <row r="245" spans="1:21" s="4" customFormat="1" ht="7.5" customHeight="1">
      <c r="A245" s="119"/>
      <c r="B245" s="3"/>
      <c r="C245" s="57"/>
      <c r="D245" s="25"/>
      <c r="E245" s="25"/>
      <c r="F245" s="338"/>
      <c r="G245" s="379"/>
      <c r="H245" s="379"/>
      <c r="I245" s="379"/>
      <c r="J245" s="306"/>
      <c r="K245" s="123"/>
      <c r="L245" s="1"/>
      <c r="M245" s="1"/>
      <c r="N245" s="1"/>
      <c r="O245" s="1"/>
      <c r="P245" s="1"/>
      <c r="Q245" s="1"/>
      <c r="R245" s="1"/>
      <c r="S245" s="1"/>
      <c r="T245" s="1"/>
      <c r="U245" s="1"/>
    </row>
    <row r="246" spans="1:21" s="4" customFormat="1" ht="32.25" customHeight="1">
      <c r="A246" s="119">
        <v>46</v>
      </c>
      <c r="B246" s="97" t="s">
        <v>106</v>
      </c>
      <c r="C246" s="102" t="s">
        <v>105</v>
      </c>
      <c r="D246" s="25" t="s">
        <v>178</v>
      </c>
      <c r="E246" s="5"/>
      <c r="F246" s="556">
        <v>1382</v>
      </c>
      <c r="G246" s="83" t="str">
        <f>C246</f>
        <v>connections</v>
      </c>
      <c r="H246" s="83"/>
      <c r="I246" s="83"/>
      <c r="J246" s="522"/>
      <c r="K246" s="507"/>
      <c r="L246" s="1"/>
      <c r="M246" s="1"/>
      <c r="N246" s="1"/>
      <c r="O246" s="1"/>
      <c r="P246" s="1"/>
      <c r="Q246" s="1"/>
      <c r="R246" s="1"/>
      <c r="S246" s="1"/>
      <c r="T246" s="1"/>
      <c r="U246" s="1"/>
    </row>
    <row r="247" spans="1:21" s="4" customFormat="1" ht="18" customHeight="1">
      <c r="A247" s="119">
        <v>47</v>
      </c>
      <c r="B247" s="97" t="s">
        <v>107</v>
      </c>
      <c r="C247" s="102" t="s">
        <v>97</v>
      </c>
      <c r="D247" s="25" t="s">
        <v>282</v>
      </c>
      <c r="E247" s="5"/>
      <c r="F247" s="556">
        <v>1600</v>
      </c>
      <c r="G247" s="83" t="str">
        <f>C247</f>
        <v>households</v>
      </c>
      <c r="H247" s="523"/>
      <c r="I247" s="83"/>
      <c r="J247" s="522"/>
      <c r="K247" s="559"/>
      <c r="L247" s="1"/>
      <c r="M247" s="1"/>
      <c r="N247" s="1"/>
      <c r="O247" s="1"/>
      <c r="P247" s="1"/>
      <c r="Q247" s="1"/>
      <c r="R247" s="1"/>
      <c r="S247" s="1"/>
      <c r="T247" s="1"/>
      <c r="U247" s="1"/>
    </row>
    <row r="248" spans="1:21" s="4" customFormat="1" ht="6.75" customHeight="1">
      <c r="A248" s="119"/>
      <c r="B248" s="3"/>
      <c r="C248" s="57"/>
      <c r="D248" s="25"/>
      <c r="E248" s="25"/>
      <c r="F248" s="379"/>
      <c r="G248" s="379"/>
      <c r="H248" s="379"/>
      <c r="I248" s="379"/>
      <c r="J248" s="306"/>
      <c r="K248" s="123"/>
      <c r="L248" s="1"/>
      <c r="M248" s="1"/>
      <c r="N248" s="1"/>
      <c r="O248" s="1"/>
      <c r="P248" s="1"/>
      <c r="Q248" s="1"/>
      <c r="R248" s="1"/>
      <c r="S248" s="1"/>
      <c r="T248" s="1"/>
      <c r="U248" s="1"/>
    </row>
    <row r="249" spans="1:21" s="4" customFormat="1" ht="18" customHeight="1">
      <c r="A249" s="119">
        <v>48</v>
      </c>
      <c r="B249" s="105" t="s">
        <v>216</v>
      </c>
      <c r="C249" s="102" t="s">
        <v>145</v>
      </c>
      <c r="D249" s="25" t="s">
        <v>283</v>
      </c>
      <c r="E249" s="5"/>
      <c r="F249" s="593" t="s">
        <v>163</v>
      </c>
      <c r="G249" s="83"/>
      <c r="H249" s="83"/>
      <c r="I249" s="83"/>
      <c r="J249" s="522"/>
      <c r="K249" s="507"/>
      <c r="L249" s="1"/>
      <c r="M249" s="1"/>
      <c r="N249" s="1"/>
      <c r="O249" s="1"/>
      <c r="P249" s="1"/>
      <c r="Q249" s="1"/>
      <c r="R249" s="1"/>
      <c r="S249" s="1"/>
      <c r="T249" s="1"/>
      <c r="U249" s="1"/>
    </row>
    <row r="250" spans="1:21" s="4" customFormat="1" ht="18" customHeight="1">
      <c r="A250" s="119">
        <v>49</v>
      </c>
      <c r="B250" s="93" t="s">
        <v>214</v>
      </c>
      <c r="C250" s="102" t="s">
        <v>108</v>
      </c>
      <c r="D250" s="25" t="s">
        <v>284</v>
      </c>
      <c r="E250" s="5"/>
      <c r="F250" s="593">
        <v>100</v>
      </c>
      <c r="G250" s="83" t="str">
        <f>C250</f>
        <v>kWh/mth</v>
      </c>
      <c r="H250" s="83"/>
      <c r="I250" s="83"/>
      <c r="J250" s="522"/>
      <c r="K250" s="507"/>
      <c r="L250" s="1"/>
      <c r="M250" s="1"/>
      <c r="N250" s="1"/>
      <c r="O250" s="1"/>
      <c r="P250" s="1"/>
      <c r="Q250" s="1"/>
      <c r="R250" s="1"/>
      <c r="S250" s="1"/>
      <c r="T250" s="1"/>
      <c r="U250" s="1"/>
    </row>
    <row r="251" spans="1:21" s="4" customFormat="1" ht="18" customHeight="1">
      <c r="A251" s="119">
        <v>50</v>
      </c>
      <c r="B251" s="105" t="s">
        <v>215</v>
      </c>
      <c r="C251" s="102" t="s">
        <v>145</v>
      </c>
      <c r="D251" s="25" t="s">
        <v>285</v>
      </c>
      <c r="E251" s="5"/>
      <c r="F251" s="593" t="s">
        <v>162</v>
      </c>
      <c r="G251" s="82"/>
      <c r="H251" s="83"/>
      <c r="I251" s="83"/>
      <c r="J251" s="522"/>
      <c r="K251" s="507"/>
      <c r="L251" s="1"/>
      <c r="M251" s="1"/>
      <c r="N251" s="1"/>
      <c r="O251" s="1"/>
      <c r="P251" s="1"/>
      <c r="Q251" s="1"/>
      <c r="R251" s="1"/>
      <c r="S251" s="1"/>
      <c r="T251" s="1"/>
      <c r="U251" s="1"/>
    </row>
    <row r="252" spans="1:21" s="4" customFormat="1" ht="14.1" customHeight="1">
      <c r="A252" s="119"/>
      <c r="B252" s="3"/>
      <c r="C252" s="57"/>
      <c r="D252" s="25"/>
      <c r="E252" s="25"/>
      <c r="F252" s="379"/>
      <c r="G252" s="379"/>
      <c r="H252" s="379"/>
      <c r="I252" s="379"/>
      <c r="J252" s="306"/>
      <c r="K252" s="560"/>
      <c r="L252" s="1"/>
      <c r="M252" s="1"/>
      <c r="N252" s="1"/>
      <c r="O252" s="1"/>
      <c r="P252" s="1"/>
      <c r="Q252" s="1"/>
      <c r="R252" s="1"/>
      <c r="S252" s="1"/>
      <c r="T252" s="1"/>
      <c r="U252" s="1"/>
    </row>
    <row r="253" spans="1:21" s="4" customFormat="1" ht="18" customHeight="1">
      <c r="A253" s="119">
        <v>51</v>
      </c>
      <c r="B253" s="105" t="s">
        <v>191</v>
      </c>
      <c r="C253" s="108" t="s">
        <v>18</v>
      </c>
      <c r="D253" s="25" t="s">
        <v>286</v>
      </c>
      <c r="E253" s="5"/>
      <c r="F253" s="591"/>
      <c r="G253" s="83" t="str">
        <f t="shared" ref="G253:G258" si="3">C253</f>
        <v>MWh</v>
      </c>
      <c r="H253" s="523"/>
      <c r="I253" s="83"/>
      <c r="J253" s="521"/>
      <c r="K253" s="507"/>
      <c r="L253" s="1"/>
      <c r="M253" s="1"/>
      <c r="N253" s="1"/>
      <c r="O253" s="1"/>
      <c r="P253" s="1"/>
      <c r="Q253" s="1"/>
      <c r="R253" s="1"/>
      <c r="S253" s="1"/>
      <c r="T253" s="1"/>
      <c r="U253" s="1"/>
    </row>
    <row r="254" spans="1:21" s="4" customFormat="1" ht="18" customHeight="1">
      <c r="A254" s="119">
        <v>52</v>
      </c>
      <c r="B254" s="105" t="s">
        <v>192</v>
      </c>
      <c r="C254" s="108" t="s">
        <v>18</v>
      </c>
      <c r="D254" s="25" t="s">
        <v>287</v>
      </c>
      <c r="E254" s="5"/>
      <c r="F254" s="591">
        <v>1846.07</v>
      </c>
      <c r="G254" s="83" t="str">
        <f t="shared" si="3"/>
        <v>MWh</v>
      </c>
      <c r="H254" s="523"/>
      <c r="I254" s="83"/>
      <c r="J254" s="521"/>
      <c r="K254" s="507"/>
      <c r="L254" s="1"/>
      <c r="M254" s="1"/>
      <c r="N254" s="1"/>
      <c r="O254" s="1"/>
      <c r="P254" s="1"/>
      <c r="Q254" s="1"/>
      <c r="R254" s="1"/>
      <c r="S254" s="1"/>
      <c r="T254" s="1"/>
      <c r="U254" s="1"/>
    </row>
    <row r="255" spans="1:21" s="4" customFormat="1" ht="18" customHeight="1">
      <c r="A255" s="119">
        <v>53</v>
      </c>
      <c r="B255" s="105" t="s">
        <v>193</v>
      </c>
      <c r="C255" s="108" t="s">
        <v>18</v>
      </c>
      <c r="D255" s="25" t="s">
        <v>288</v>
      </c>
      <c r="E255" s="3"/>
      <c r="F255" s="591">
        <v>1181.98</v>
      </c>
      <c r="G255" s="83" t="str">
        <f t="shared" si="3"/>
        <v>MWh</v>
      </c>
      <c r="H255" s="83"/>
      <c r="I255" s="83"/>
      <c r="J255" s="521"/>
      <c r="K255" s="507"/>
      <c r="L255" s="1"/>
      <c r="M255" s="1"/>
      <c r="N255" s="1"/>
      <c r="O255" s="1"/>
      <c r="P255" s="1"/>
      <c r="Q255" s="1"/>
      <c r="R255" s="1"/>
      <c r="S255" s="1"/>
      <c r="T255" s="1"/>
      <c r="U255" s="1"/>
    </row>
    <row r="256" spans="1:21" s="39" customFormat="1" ht="36" customHeight="1">
      <c r="A256" s="124">
        <v>54</v>
      </c>
      <c r="B256" s="103" t="s">
        <v>194</v>
      </c>
      <c r="C256" s="108" t="s">
        <v>18</v>
      </c>
      <c r="D256" s="25" t="s">
        <v>289</v>
      </c>
      <c r="E256" s="35"/>
      <c r="F256" s="591">
        <v>266.08</v>
      </c>
      <c r="G256" s="83" t="str">
        <f t="shared" si="3"/>
        <v>MWh</v>
      </c>
      <c r="H256" s="524"/>
      <c r="I256" s="524"/>
      <c r="J256" s="525"/>
      <c r="K256" s="510"/>
      <c r="L256" s="32"/>
      <c r="M256" s="32"/>
      <c r="N256" s="32"/>
      <c r="O256" s="32"/>
      <c r="P256" s="32"/>
      <c r="Q256" s="32"/>
      <c r="R256" s="32"/>
      <c r="S256" s="32"/>
      <c r="T256" s="32"/>
      <c r="U256" s="32"/>
    </row>
    <row r="257" spans="1:21" s="39" customFormat="1" ht="53.25" customHeight="1">
      <c r="A257" s="124">
        <v>55</v>
      </c>
      <c r="B257" s="103" t="s">
        <v>654</v>
      </c>
      <c r="C257" s="108" t="s">
        <v>18</v>
      </c>
      <c r="D257" s="249" t="s">
        <v>595</v>
      </c>
      <c r="E257" s="35"/>
      <c r="F257" s="591">
        <v>1190.5</v>
      </c>
      <c r="G257" s="83" t="str">
        <f t="shared" si="3"/>
        <v>MWh</v>
      </c>
      <c r="H257" s="524"/>
      <c r="I257" s="524"/>
      <c r="J257" s="525"/>
      <c r="K257" s="510"/>
      <c r="L257" s="32"/>
      <c r="M257" s="32"/>
      <c r="N257" s="32"/>
      <c r="O257" s="32"/>
      <c r="P257" s="32"/>
      <c r="Q257" s="32"/>
      <c r="R257" s="32"/>
      <c r="S257" s="32"/>
      <c r="T257" s="32"/>
      <c r="U257" s="32"/>
    </row>
    <row r="258" spans="1:21" s="39" customFormat="1" ht="35.25" customHeight="1">
      <c r="A258" s="124">
        <v>56</v>
      </c>
      <c r="B258" s="103" t="s">
        <v>195</v>
      </c>
      <c r="C258" s="108" t="s">
        <v>18</v>
      </c>
      <c r="D258" s="25" t="s">
        <v>199</v>
      </c>
      <c r="E258" s="33"/>
      <c r="F258" s="591">
        <v>76.188999999999993</v>
      </c>
      <c r="G258" s="83" t="str">
        <f t="shared" si="3"/>
        <v>MWh</v>
      </c>
      <c r="H258" s="524"/>
      <c r="I258" s="524"/>
      <c r="J258" s="525"/>
      <c r="K258" s="510"/>
      <c r="L258" s="32"/>
      <c r="M258" s="32"/>
      <c r="N258" s="32"/>
      <c r="O258" s="32"/>
      <c r="P258" s="32"/>
      <c r="Q258" s="32"/>
      <c r="R258" s="32"/>
      <c r="S258" s="32"/>
      <c r="T258" s="32"/>
      <c r="U258" s="32"/>
    </row>
    <row r="259" spans="1:21" s="4" customFormat="1" ht="8.25" customHeight="1">
      <c r="A259" s="119"/>
      <c r="B259" s="3"/>
      <c r="C259" s="57"/>
      <c r="D259" s="25"/>
      <c r="E259" s="25"/>
      <c r="F259" s="312"/>
      <c r="G259" s="25"/>
      <c r="H259" s="25"/>
      <c r="I259" s="25"/>
      <c r="J259" s="92"/>
      <c r="K259" s="123"/>
      <c r="L259" s="1"/>
      <c r="M259" s="1"/>
      <c r="N259" s="1"/>
      <c r="O259" s="1"/>
      <c r="P259" s="1"/>
      <c r="Q259" s="1"/>
      <c r="R259" s="1"/>
      <c r="S259" s="1"/>
      <c r="T259" s="1"/>
      <c r="U259" s="1"/>
    </row>
    <row r="260" spans="1:21" s="39" customFormat="1" ht="34.5" customHeight="1">
      <c r="A260" s="513">
        <v>57</v>
      </c>
      <c r="B260" s="105" t="s">
        <v>233</v>
      </c>
      <c r="C260" s="108" t="s">
        <v>234</v>
      </c>
      <c r="D260" s="25" t="s">
        <v>290</v>
      </c>
      <c r="E260" s="33"/>
      <c r="F260" s="594" t="s">
        <v>235</v>
      </c>
      <c r="G260" s="624" t="s">
        <v>812</v>
      </c>
      <c r="H260" s="25"/>
      <c r="I260" s="35"/>
      <c r="J260" s="71"/>
      <c r="K260" s="510"/>
      <c r="L260" s="32"/>
      <c r="M260" s="32"/>
      <c r="N260" s="32"/>
      <c r="O260" s="32"/>
      <c r="P260" s="32"/>
      <c r="Q260" s="32"/>
      <c r="R260" s="32"/>
      <c r="S260" s="32"/>
      <c r="T260" s="32"/>
      <c r="U260" s="32"/>
    </row>
    <row r="261" spans="1:21" s="39" customFormat="1" ht="6" customHeight="1">
      <c r="A261" s="513"/>
      <c r="B261" s="25"/>
      <c r="C261" s="25"/>
      <c r="D261" s="25"/>
      <c r="E261" s="33"/>
      <c r="F261" s="262"/>
      <c r="G261" s="3"/>
      <c r="H261" s="25"/>
      <c r="I261" s="35"/>
      <c r="J261" s="71"/>
      <c r="K261" s="125"/>
      <c r="L261" s="32"/>
      <c r="M261" s="32"/>
      <c r="N261" s="32"/>
      <c r="O261" s="32"/>
      <c r="P261" s="32"/>
      <c r="Q261" s="32"/>
      <c r="R261" s="32"/>
      <c r="S261" s="32"/>
      <c r="T261" s="32"/>
      <c r="U261" s="32"/>
    </row>
    <row r="262" spans="1:21" s="39" customFormat="1" ht="19.5" customHeight="1">
      <c r="A262" s="513">
        <v>58</v>
      </c>
      <c r="B262" s="105" t="s">
        <v>329</v>
      </c>
      <c r="C262" s="108" t="s">
        <v>145</v>
      </c>
      <c r="D262" s="25" t="s">
        <v>328</v>
      </c>
      <c r="E262" s="33"/>
      <c r="F262" s="561" t="s">
        <v>162</v>
      </c>
      <c r="G262" s="3"/>
      <c r="H262" s="25"/>
      <c r="I262" s="35"/>
      <c r="J262" s="71"/>
      <c r="K262" s="510"/>
      <c r="L262" s="32"/>
      <c r="M262" s="32"/>
      <c r="N262" s="32"/>
      <c r="O262" s="32"/>
      <c r="P262" s="32"/>
      <c r="Q262" s="32"/>
      <c r="R262" s="32"/>
      <c r="S262" s="32"/>
      <c r="T262" s="32"/>
      <c r="U262" s="32"/>
    </row>
    <row r="263" spans="1:21">
      <c r="A263" s="136"/>
      <c r="B263" s="137"/>
      <c r="C263" s="138"/>
      <c r="D263" s="139"/>
      <c r="E263" s="140"/>
      <c r="F263" s="325"/>
      <c r="G263" s="137"/>
      <c r="H263" s="137"/>
      <c r="I263" s="137"/>
      <c r="J263" s="141"/>
      <c r="K263" s="142"/>
    </row>
    <row r="264" spans="1:21" s="1" customFormat="1" ht="18" customHeight="1">
      <c r="A264" s="111" t="s">
        <v>196</v>
      </c>
      <c r="B264" s="112" t="s">
        <v>331</v>
      </c>
      <c r="C264" s="113" t="s">
        <v>15</v>
      </c>
      <c r="D264" s="114" t="s">
        <v>165</v>
      </c>
      <c r="E264" s="115"/>
      <c r="F264" s="318" t="s">
        <v>330</v>
      </c>
      <c r="G264" s="116"/>
      <c r="H264" s="116"/>
      <c r="I264" s="116"/>
      <c r="J264" s="117"/>
      <c r="K264" s="118" t="s">
        <v>76</v>
      </c>
      <c r="L264" s="40"/>
      <c r="M264" s="40"/>
      <c r="N264" s="40"/>
      <c r="O264" s="40"/>
      <c r="P264" s="41"/>
      <c r="Q264" s="41"/>
    </row>
    <row r="265" spans="1:21" s="4" customFormat="1" ht="15">
      <c r="A265" s="119"/>
      <c r="B265" s="3"/>
      <c r="C265" s="57"/>
      <c r="D265" s="25"/>
      <c r="E265" s="25"/>
      <c r="F265" s="312"/>
      <c r="G265" s="25"/>
      <c r="H265" s="25"/>
      <c r="I265" s="25"/>
      <c r="J265" s="92"/>
      <c r="K265" s="123"/>
      <c r="L265" s="1"/>
      <c r="M265" s="1"/>
      <c r="N265" s="1"/>
      <c r="O265" s="1"/>
      <c r="P265" s="1"/>
      <c r="Q265" s="1"/>
      <c r="R265" s="1"/>
      <c r="S265" s="1"/>
      <c r="T265" s="1"/>
      <c r="U265" s="1"/>
    </row>
    <row r="266" spans="1:21" s="363" customFormat="1" ht="18" customHeight="1">
      <c r="A266" s="354"/>
      <c r="B266" s="355" t="s">
        <v>159</v>
      </c>
      <c r="C266" s="356"/>
      <c r="D266" s="357"/>
      <c r="E266" s="358"/>
      <c r="F266" s="713" t="s">
        <v>166</v>
      </c>
      <c r="G266" s="713"/>
      <c r="H266" s="713"/>
      <c r="I266" s="713"/>
      <c r="J266" s="713"/>
      <c r="K266" s="361"/>
      <c r="L266" s="362"/>
      <c r="M266" s="362"/>
      <c r="N266" s="362"/>
      <c r="O266" s="362"/>
      <c r="P266" s="362"/>
      <c r="Q266" s="362"/>
      <c r="R266" s="362"/>
      <c r="S266" s="362"/>
      <c r="T266" s="362"/>
      <c r="U266" s="362"/>
    </row>
    <row r="267" spans="1:21" s="4" customFormat="1" ht="13.5" customHeight="1">
      <c r="A267" s="119"/>
      <c r="B267" s="3"/>
      <c r="C267" s="57"/>
      <c r="D267" s="25"/>
      <c r="E267" s="25"/>
      <c r="F267" s="312"/>
      <c r="G267" s="25"/>
      <c r="H267" s="25"/>
      <c r="I267" s="25"/>
      <c r="J267" s="92"/>
      <c r="K267" s="123"/>
      <c r="L267" s="1"/>
      <c r="M267" s="1"/>
      <c r="N267" s="1"/>
      <c r="O267" s="1"/>
      <c r="P267" s="1"/>
      <c r="Q267" s="1"/>
      <c r="R267" s="1"/>
      <c r="S267" s="1"/>
      <c r="T267" s="1"/>
      <c r="U267" s="1"/>
    </row>
    <row r="268" spans="1:21" s="202" customFormat="1" ht="19.5" customHeight="1">
      <c r="A268" s="197">
        <v>59</v>
      </c>
      <c r="B268" s="93" t="s">
        <v>485</v>
      </c>
      <c r="C268" s="515" t="str">
        <f>$D$54</f>
        <v>USD</v>
      </c>
      <c r="D268" s="57" t="s">
        <v>473</v>
      </c>
      <c r="E268" s="199"/>
      <c r="F268" s="700">
        <v>144382</v>
      </c>
      <c r="G268" s="306" t="str">
        <f>$D$54</f>
        <v>USD</v>
      </c>
      <c r="H268" s="201"/>
      <c r="I268" s="201"/>
      <c r="J268" s="368"/>
      <c r="K268" s="511"/>
    </row>
    <row r="269" spans="1:21" ht="15">
      <c r="A269" s="119">
        <v>60</v>
      </c>
      <c r="B269" s="93" t="s">
        <v>474</v>
      </c>
      <c r="C269" s="515" t="str">
        <f t="shared" ref="C269:C281" si="4">$D$54</f>
        <v>USD</v>
      </c>
      <c r="D269" s="25" t="s">
        <v>489</v>
      </c>
      <c r="E269" s="5"/>
      <c r="F269" s="701">
        <v>198631</v>
      </c>
      <c r="G269" s="306" t="str">
        <f t="shared" ref="G269:G281" si="5">$D$54</f>
        <v>USD</v>
      </c>
      <c r="H269" s="3"/>
      <c r="I269" s="3"/>
      <c r="J269" s="69"/>
      <c r="K269" s="507"/>
    </row>
    <row r="270" spans="1:21" ht="30.75">
      <c r="A270" s="119">
        <v>61</v>
      </c>
      <c r="B270" s="97" t="s">
        <v>477</v>
      </c>
      <c r="C270" s="515" t="str">
        <f t="shared" si="4"/>
        <v>USD</v>
      </c>
      <c r="D270" s="25" t="s">
        <v>552</v>
      </c>
      <c r="E270" s="5"/>
      <c r="F270" s="701">
        <v>25242</v>
      </c>
      <c r="G270" s="306" t="str">
        <f t="shared" si="5"/>
        <v>USD</v>
      </c>
      <c r="H270" s="3"/>
      <c r="I270" s="3"/>
      <c r="J270" s="68"/>
      <c r="K270" s="507"/>
    </row>
    <row r="271" spans="1:21" s="4" customFormat="1" ht="18" customHeight="1">
      <c r="A271" s="119">
        <v>62</v>
      </c>
      <c r="B271" s="93" t="s">
        <v>93</v>
      </c>
      <c r="C271" s="515" t="str">
        <f t="shared" si="4"/>
        <v>USD</v>
      </c>
      <c r="D271" s="25" t="s">
        <v>291</v>
      </c>
      <c r="E271" s="5"/>
      <c r="F271" s="701">
        <v>2485483</v>
      </c>
      <c r="G271" s="306" t="str">
        <f t="shared" si="5"/>
        <v>USD</v>
      </c>
      <c r="H271" s="46"/>
      <c r="I271" s="46"/>
      <c r="J271" s="70"/>
      <c r="K271" s="507"/>
      <c r="L271" s="1"/>
      <c r="M271" s="1"/>
      <c r="N271" s="1"/>
      <c r="O271" s="1"/>
      <c r="P271" s="1"/>
      <c r="Q271" s="1"/>
      <c r="R271" s="1"/>
      <c r="S271" s="1"/>
      <c r="T271" s="1"/>
      <c r="U271" s="1"/>
    </row>
    <row r="272" spans="1:21" s="4" customFormat="1" ht="18" customHeight="1">
      <c r="A272" s="119">
        <v>63</v>
      </c>
      <c r="B272" s="93" t="s">
        <v>200</v>
      </c>
      <c r="C272" s="515" t="str">
        <f t="shared" si="4"/>
        <v>USD</v>
      </c>
      <c r="D272" s="25" t="s">
        <v>292</v>
      </c>
      <c r="E272" s="5"/>
      <c r="F272" s="701">
        <v>2227954</v>
      </c>
      <c r="G272" s="306" t="str">
        <f t="shared" si="5"/>
        <v>USD</v>
      </c>
      <c r="H272" s="237"/>
      <c r="I272" s="46"/>
      <c r="J272" s="70"/>
      <c r="K272" s="507"/>
      <c r="L272" s="1"/>
      <c r="M272" s="1"/>
      <c r="N272" s="1"/>
      <c r="O272" s="1"/>
      <c r="P272" s="1"/>
      <c r="Q272" s="1"/>
      <c r="R272" s="1"/>
      <c r="S272" s="1"/>
      <c r="T272" s="1"/>
      <c r="U272" s="1"/>
    </row>
    <row r="273" spans="1:21" s="4" customFormat="1" ht="35.25" customHeight="1">
      <c r="A273" s="119">
        <v>64</v>
      </c>
      <c r="B273" s="97" t="s">
        <v>91</v>
      </c>
      <c r="C273" s="515" t="str">
        <f t="shared" si="4"/>
        <v>USD</v>
      </c>
      <c r="D273" s="25" t="s">
        <v>294</v>
      </c>
      <c r="E273" s="5"/>
      <c r="F273" s="703">
        <v>-110727.76</v>
      </c>
      <c r="G273" s="306" t="str">
        <f t="shared" si="5"/>
        <v>USD</v>
      </c>
      <c r="H273" s="46"/>
      <c r="I273" s="46"/>
      <c r="J273" s="70"/>
      <c r="K273" s="507"/>
      <c r="L273" s="1"/>
      <c r="M273" s="1"/>
      <c r="N273" s="1"/>
      <c r="O273" s="1"/>
      <c r="P273" s="1"/>
      <c r="Q273" s="1"/>
      <c r="R273" s="1"/>
      <c r="S273" s="1"/>
      <c r="T273" s="1"/>
      <c r="U273" s="1"/>
    </row>
    <row r="274" spans="1:21" s="4" customFormat="1" ht="18" customHeight="1">
      <c r="A274" s="119">
        <v>65</v>
      </c>
      <c r="B274" s="97" t="s">
        <v>99</v>
      </c>
      <c r="C274" s="515" t="str">
        <f t="shared" si="4"/>
        <v>USD</v>
      </c>
      <c r="D274" s="25" t="s">
        <v>296</v>
      </c>
      <c r="E274" s="5"/>
      <c r="F274" s="703">
        <v>-116947.08</v>
      </c>
      <c r="G274" s="306" t="str">
        <f t="shared" si="5"/>
        <v>USD</v>
      </c>
      <c r="H274" s="46"/>
      <c r="I274" s="46"/>
      <c r="J274" s="70"/>
      <c r="K274" s="507"/>
      <c r="L274" s="1"/>
      <c r="M274" s="1"/>
      <c r="N274" s="1"/>
      <c r="O274" s="1"/>
      <c r="P274" s="1"/>
      <c r="Q274" s="1"/>
      <c r="R274" s="1"/>
      <c r="S274" s="1"/>
      <c r="T274" s="1"/>
      <c r="U274" s="1"/>
    </row>
    <row r="275" spans="1:21" s="4" customFormat="1" ht="33.75" customHeight="1">
      <c r="A275" s="119">
        <v>66</v>
      </c>
      <c r="B275" s="97" t="s">
        <v>90</v>
      </c>
      <c r="C275" s="515" t="str">
        <f t="shared" si="4"/>
        <v>USD</v>
      </c>
      <c r="D275" s="25" t="s">
        <v>293</v>
      </c>
      <c r="E275" s="5"/>
      <c r="F275" s="595">
        <v>0</v>
      </c>
      <c r="G275" s="306" t="str">
        <f t="shared" si="5"/>
        <v>USD</v>
      </c>
      <c r="H275" s="239"/>
      <c r="I275" s="46"/>
      <c r="J275" s="70"/>
      <c r="K275" s="507"/>
      <c r="L275" s="1"/>
      <c r="M275" s="1"/>
      <c r="N275" s="1"/>
      <c r="O275" s="1"/>
      <c r="P275" s="1"/>
      <c r="Q275" s="1"/>
      <c r="R275" s="1"/>
      <c r="S275" s="1"/>
      <c r="T275" s="1"/>
      <c r="U275" s="1"/>
    </row>
    <row r="276" spans="1:21" s="4" customFormat="1" ht="38.25" customHeight="1">
      <c r="A276" s="119">
        <v>67</v>
      </c>
      <c r="B276" s="97" t="s">
        <v>92</v>
      </c>
      <c r="C276" s="515" t="str">
        <f t="shared" si="4"/>
        <v>USD</v>
      </c>
      <c r="D276" s="25" t="s">
        <v>340</v>
      </c>
      <c r="E276" s="5"/>
      <c r="F276" s="703">
        <v>3834617.75</v>
      </c>
      <c r="G276" s="306" t="str">
        <f t="shared" si="5"/>
        <v>USD</v>
      </c>
      <c r="H276" s="238"/>
      <c r="I276" s="46"/>
      <c r="J276" s="45"/>
      <c r="K276" s="507"/>
      <c r="L276" s="1"/>
      <c r="M276" s="1"/>
      <c r="N276" s="1"/>
      <c r="O276" s="1"/>
      <c r="P276" s="1"/>
      <c r="Q276" s="1"/>
      <c r="R276" s="1"/>
      <c r="S276" s="1"/>
      <c r="T276" s="1"/>
      <c r="U276" s="1"/>
    </row>
    <row r="277" spans="1:21" s="4" customFormat="1" ht="35.25" customHeight="1">
      <c r="A277" s="119">
        <v>68</v>
      </c>
      <c r="B277" s="97" t="s">
        <v>98</v>
      </c>
      <c r="C277" s="515" t="str">
        <f t="shared" si="4"/>
        <v>USD</v>
      </c>
      <c r="D277" s="25" t="s">
        <v>295</v>
      </c>
      <c r="E277" s="5"/>
      <c r="F277" s="704">
        <v>3306943</v>
      </c>
      <c r="G277" s="306" t="str">
        <f t="shared" si="5"/>
        <v>USD</v>
      </c>
      <c r="H277" s="46"/>
      <c r="I277" s="46"/>
      <c r="J277" s="70"/>
      <c r="K277" s="507"/>
      <c r="L277" s="1"/>
      <c r="M277" s="1"/>
      <c r="N277" s="1"/>
      <c r="O277" s="1"/>
      <c r="P277" s="1"/>
      <c r="Q277" s="1"/>
      <c r="R277" s="1"/>
      <c r="S277" s="1"/>
      <c r="T277" s="1"/>
      <c r="U277" s="1"/>
    </row>
    <row r="278" spans="1:21" s="4" customFormat="1" ht="36" customHeight="1">
      <c r="A278" s="119">
        <v>69</v>
      </c>
      <c r="B278" s="97" t="s">
        <v>324</v>
      </c>
      <c r="C278" s="515" t="str">
        <f t="shared" si="4"/>
        <v>USD</v>
      </c>
      <c r="D278" s="25" t="s">
        <v>323</v>
      </c>
      <c r="E278" s="5"/>
      <c r="F278" s="703">
        <v>2915629.41</v>
      </c>
      <c r="G278" s="306" t="str">
        <f t="shared" si="5"/>
        <v>USD</v>
      </c>
      <c r="H278" s="46"/>
      <c r="I278" s="46"/>
      <c r="J278" s="70"/>
      <c r="K278" s="507"/>
      <c r="L278" s="1"/>
      <c r="M278" s="1"/>
      <c r="N278" s="1"/>
      <c r="O278" s="1"/>
      <c r="P278" s="1"/>
      <c r="Q278" s="1"/>
      <c r="R278" s="1"/>
      <c r="S278" s="1"/>
      <c r="T278" s="1"/>
      <c r="U278" s="1"/>
    </row>
    <row r="279" spans="1:21" s="4" customFormat="1" ht="38.25" customHeight="1">
      <c r="A279" s="119">
        <v>70</v>
      </c>
      <c r="B279" s="97" t="s">
        <v>19</v>
      </c>
      <c r="C279" s="515" t="str">
        <f t="shared" si="4"/>
        <v>USD</v>
      </c>
      <c r="D279" s="25" t="s">
        <v>297</v>
      </c>
      <c r="E279" s="5"/>
      <c r="F279" s="703">
        <v>1172123.98</v>
      </c>
      <c r="G279" s="306" t="str">
        <f t="shared" si="5"/>
        <v>USD</v>
      </c>
      <c r="H279" s="46"/>
      <c r="I279" s="46"/>
      <c r="J279" s="70"/>
      <c r="K279" s="507"/>
      <c r="L279" s="1"/>
      <c r="M279" s="1"/>
      <c r="N279" s="1"/>
      <c r="O279" s="1"/>
      <c r="P279" s="1"/>
      <c r="Q279" s="1"/>
      <c r="R279" s="1"/>
      <c r="S279" s="1"/>
      <c r="T279" s="1"/>
      <c r="U279" s="1"/>
    </row>
    <row r="280" spans="1:21" s="4" customFormat="1" ht="18" customHeight="1">
      <c r="A280" s="119">
        <v>71</v>
      </c>
      <c r="B280" s="97" t="s">
        <v>78</v>
      </c>
      <c r="C280" s="515" t="str">
        <f t="shared" si="4"/>
        <v>USD</v>
      </c>
      <c r="D280" s="25" t="s">
        <v>298</v>
      </c>
      <c r="E280" s="5"/>
      <c r="F280" s="703">
        <v>253135.64</v>
      </c>
      <c r="G280" s="306" t="str">
        <f t="shared" si="5"/>
        <v>USD</v>
      </c>
      <c r="H280" s="46"/>
      <c r="I280" s="46"/>
      <c r="J280" s="70"/>
      <c r="K280" s="507"/>
      <c r="L280" s="1"/>
      <c r="M280" s="1"/>
      <c r="N280" s="1"/>
      <c r="O280" s="1"/>
      <c r="P280" s="1"/>
      <c r="Q280" s="1"/>
      <c r="R280" s="1"/>
      <c r="S280" s="1"/>
      <c r="T280" s="1"/>
      <c r="U280" s="1"/>
    </row>
    <row r="281" spans="1:21" s="4" customFormat="1" ht="36" customHeight="1">
      <c r="A281" s="119">
        <v>72</v>
      </c>
      <c r="B281" s="97" t="s">
        <v>100</v>
      </c>
      <c r="C281" s="515" t="str">
        <f t="shared" si="4"/>
        <v>USD</v>
      </c>
      <c r="D281" s="25" t="s">
        <v>299</v>
      </c>
      <c r="E281" s="5"/>
      <c r="F281" s="703">
        <v>166278.57999999999</v>
      </c>
      <c r="G281" s="306" t="str">
        <f t="shared" si="5"/>
        <v>USD</v>
      </c>
      <c r="H281" s="46"/>
      <c r="I281" s="46"/>
      <c r="J281" s="70"/>
      <c r="K281" s="507"/>
      <c r="L281" s="1"/>
      <c r="M281" s="1"/>
      <c r="N281" s="1"/>
      <c r="O281" s="1"/>
      <c r="P281" s="1"/>
      <c r="Q281" s="1"/>
      <c r="R281" s="1"/>
      <c r="S281" s="1"/>
      <c r="T281" s="1"/>
      <c r="U281" s="1"/>
    </row>
    <row r="282" spans="1:21">
      <c r="A282" s="498"/>
      <c r="B282" s="11"/>
      <c r="C282" s="56"/>
      <c r="D282" s="26"/>
      <c r="E282" s="52"/>
      <c r="F282" s="309"/>
      <c r="G282" s="11"/>
      <c r="H282" s="11"/>
      <c r="I282" s="11"/>
      <c r="J282" s="273"/>
      <c r="K282" s="499"/>
    </row>
    <row r="283" spans="1:21" s="4" customFormat="1" ht="14.1" customHeight="1">
      <c r="A283" s="119"/>
      <c r="B283" s="83"/>
      <c r="C283" s="57"/>
      <c r="D283" s="25"/>
      <c r="E283" s="25"/>
      <c r="F283" s="312"/>
      <c r="G283" s="25"/>
      <c r="H283" s="25"/>
      <c r="I283" s="25"/>
      <c r="J283" s="92"/>
      <c r="K283" s="394"/>
      <c r="L283" s="1"/>
      <c r="M283" s="1"/>
      <c r="N283" s="1"/>
      <c r="O283" s="1"/>
      <c r="P283" s="1"/>
      <c r="Q283" s="1"/>
      <c r="R283" s="1"/>
      <c r="S283" s="1"/>
      <c r="T283" s="1"/>
      <c r="U283" s="1"/>
    </row>
    <row r="284" spans="1:21" s="4" customFormat="1" ht="18" customHeight="1">
      <c r="A284" s="512">
        <v>73</v>
      </c>
      <c r="B284" s="80" t="s">
        <v>189</v>
      </c>
      <c r="C284" s="102" t="s">
        <v>145</v>
      </c>
      <c r="D284" s="25" t="s">
        <v>188</v>
      </c>
      <c r="E284" s="5"/>
      <c r="F284" s="561" t="s">
        <v>145</v>
      </c>
      <c r="G284" s="46"/>
      <c r="H284" s="46"/>
      <c r="I284" s="46"/>
      <c r="J284" s="68"/>
      <c r="K284" s="507"/>
      <c r="L284" s="1"/>
      <c r="M284" s="1"/>
      <c r="N284" s="1"/>
      <c r="O284" s="1"/>
      <c r="P284" s="1"/>
      <c r="Q284" s="1"/>
      <c r="R284" s="1"/>
      <c r="S284" s="1"/>
      <c r="T284" s="1"/>
      <c r="U284" s="1"/>
    </row>
    <row r="285" spans="1:21" s="4" customFormat="1" ht="18" customHeight="1">
      <c r="A285" s="512">
        <v>74</v>
      </c>
      <c r="B285" s="80" t="s">
        <v>187</v>
      </c>
      <c r="C285" s="98"/>
      <c r="D285" s="25" t="s">
        <v>190</v>
      </c>
      <c r="E285" s="5"/>
      <c r="F285" s="562" t="s">
        <v>868</v>
      </c>
      <c r="G285" s="31"/>
      <c r="H285" s="3"/>
      <c r="I285" s="3"/>
      <c r="J285" s="68"/>
      <c r="K285" s="507"/>
      <c r="L285" s="1"/>
      <c r="M285" s="1"/>
      <c r="N285" s="1"/>
      <c r="O285" s="1"/>
      <c r="P285" s="1"/>
      <c r="Q285" s="1"/>
      <c r="R285" s="1"/>
      <c r="S285" s="1"/>
      <c r="T285" s="1"/>
      <c r="U285" s="1"/>
    </row>
    <row r="286" spans="1:21" s="4" customFormat="1" ht="18" customHeight="1">
      <c r="A286" s="119"/>
      <c r="B286" s="25"/>
      <c r="C286" s="25"/>
      <c r="D286" s="25"/>
      <c r="E286" s="5"/>
      <c r="F286" s="323"/>
      <c r="G286" s="31"/>
      <c r="H286" s="3"/>
      <c r="I286" s="3"/>
      <c r="J286" s="68"/>
      <c r="K286" s="123"/>
      <c r="L286" s="1"/>
      <c r="M286" s="1"/>
      <c r="N286" s="1"/>
      <c r="O286" s="1"/>
      <c r="P286" s="1"/>
      <c r="Q286" s="1"/>
      <c r="R286" s="1"/>
      <c r="S286" s="1"/>
      <c r="T286" s="1"/>
      <c r="U286" s="1"/>
    </row>
    <row r="287" spans="1:21" s="4" customFormat="1" ht="15.75" hidden="1" customHeight="1">
      <c r="A287" s="119"/>
      <c r="B287" s="3"/>
      <c r="C287" s="57"/>
      <c r="D287" s="25"/>
      <c r="E287" s="25"/>
      <c r="F287" s="312"/>
      <c r="G287" s="25" t="s">
        <v>219</v>
      </c>
      <c r="H287" s="25" t="s">
        <v>220</v>
      </c>
      <c r="I287" s="25" t="s">
        <v>221</v>
      </c>
      <c r="J287" s="92"/>
      <c r="K287" s="123"/>
      <c r="L287" s="1"/>
      <c r="M287" s="1"/>
      <c r="N287" s="1"/>
      <c r="O287" s="1"/>
      <c r="P287" s="1"/>
      <c r="Q287" s="1"/>
      <c r="R287" s="1"/>
      <c r="S287" s="1"/>
      <c r="T287" s="1"/>
      <c r="U287" s="1"/>
    </row>
    <row r="288" spans="1:21" s="4" customFormat="1" ht="18" hidden="1" customHeight="1">
      <c r="A288" s="119">
        <v>75</v>
      </c>
      <c r="B288" s="93" t="s">
        <v>342</v>
      </c>
      <c r="C288" s="109">
        <f>C54</f>
        <v>0</v>
      </c>
      <c r="D288" s="25" t="s">
        <v>341</v>
      </c>
      <c r="E288" s="5"/>
      <c r="F288" s="320"/>
      <c r="G288" s="110"/>
      <c r="H288" s="110"/>
      <c r="I288" s="110"/>
      <c r="J288" s="92">
        <f>C288</f>
        <v>0</v>
      </c>
      <c r="K288" s="123"/>
      <c r="L288" s="1"/>
      <c r="M288" s="1"/>
      <c r="N288" s="1"/>
      <c r="O288" s="1"/>
      <c r="P288" s="1"/>
      <c r="Q288" s="1"/>
      <c r="R288" s="1"/>
      <c r="S288" s="1"/>
      <c r="T288" s="1"/>
      <c r="U288" s="1"/>
    </row>
    <row r="289" spans="1:21" s="4" customFormat="1" ht="18" hidden="1" customHeight="1">
      <c r="A289" s="119">
        <v>76</v>
      </c>
      <c r="B289" s="93" t="s">
        <v>343</v>
      </c>
      <c r="C289" s="109">
        <f>C54</f>
        <v>0</v>
      </c>
      <c r="D289" s="25" t="s">
        <v>344</v>
      </c>
      <c r="E289" s="5"/>
      <c r="F289" s="320"/>
      <c r="G289" s="110"/>
      <c r="H289" s="110"/>
      <c r="I289" s="110"/>
      <c r="J289" s="92">
        <f>C289</f>
        <v>0</v>
      </c>
      <c r="K289" s="123"/>
      <c r="L289" s="1"/>
      <c r="M289" s="1"/>
      <c r="N289" s="1"/>
      <c r="O289" s="1"/>
      <c r="P289" s="1"/>
      <c r="Q289" s="1"/>
      <c r="R289" s="1"/>
      <c r="S289" s="1"/>
      <c r="T289" s="1"/>
      <c r="U289" s="1"/>
    </row>
    <row r="290" spans="1:21" s="393" customFormat="1" ht="15.75">
      <c r="A290" s="354"/>
      <c r="B290" s="355" t="s">
        <v>483</v>
      </c>
      <c r="C290" s="356"/>
      <c r="D290" s="384"/>
      <c r="E290" s="358"/>
      <c r="F290" s="385"/>
      <c r="G290" s="359"/>
      <c r="H290" s="359"/>
      <c r="I290" s="359"/>
      <c r="J290" s="390"/>
      <c r="K290" s="361"/>
    </row>
    <row r="291" spans="1:21">
      <c r="A291" s="498"/>
      <c r="B291" s="11"/>
      <c r="C291" s="56"/>
      <c r="D291" s="26"/>
      <c r="E291" s="52"/>
      <c r="F291" s="309"/>
      <c r="G291" s="11"/>
      <c r="H291" s="11"/>
      <c r="I291" s="11"/>
      <c r="J291" s="273"/>
      <c r="K291" s="500"/>
    </row>
    <row r="292" spans="1:21" ht="30">
      <c r="A292" s="119">
        <v>75</v>
      </c>
      <c r="B292" s="97" t="s">
        <v>484</v>
      </c>
      <c r="C292" s="515" t="str">
        <f t="shared" ref="C292:C293" si="6">$D$54</f>
        <v>USD</v>
      </c>
      <c r="D292" s="44" t="s">
        <v>470</v>
      </c>
      <c r="E292" s="45"/>
      <c r="F292" s="697">
        <v>1487923</v>
      </c>
      <c r="G292" s="306" t="str">
        <f>$D$54</f>
        <v>USD</v>
      </c>
      <c r="H292" s="519"/>
      <c r="I292" s="519"/>
      <c r="J292" s="83"/>
      <c r="K292" s="507"/>
    </row>
    <row r="293" spans="1:21" ht="15">
      <c r="A293" s="119">
        <v>76</v>
      </c>
      <c r="B293" s="93" t="s">
        <v>549</v>
      </c>
      <c r="C293" s="515" t="str">
        <f t="shared" si="6"/>
        <v>USD</v>
      </c>
      <c r="D293" s="44" t="s">
        <v>550</v>
      </c>
      <c r="E293" s="45"/>
      <c r="F293" s="623">
        <v>0</v>
      </c>
      <c r="G293" s="306" t="str">
        <f>$D$54</f>
        <v>USD</v>
      </c>
      <c r="H293" s="519"/>
      <c r="I293" s="519"/>
      <c r="J293" s="83"/>
      <c r="K293" s="507"/>
    </row>
    <row r="294" spans="1:21" s="200" customFormat="1" ht="33.75" customHeight="1">
      <c r="A294" s="197">
        <v>77</v>
      </c>
      <c r="B294" s="93" t="s">
        <v>481</v>
      </c>
      <c r="C294" s="515" t="str">
        <f t="shared" ref="C294" si="7">$D$54</f>
        <v>USD</v>
      </c>
      <c r="D294" s="198" t="s">
        <v>482</v>
      </c>
      <c r="E294" s="199"/>
      <c r="F294" s="698">
        <v>1108287</v>
      </c>
      <c r="G294" s="306" t="str">
        <f>$D$54</f>
        <v>USD</v>
      </c>
      <c r="H294" s="563"/>
      <c r="I294" s="563"/>
      <c r="J294" s="306" t="str">
        <f>$D$54</f>
        <v>USD</v>
      </c>
      <c r="K294" s="511"/>
    </row>
    <row r="295" spans="1:21" ht="15">
      <c r="A295" s="119">
        <v>78</v>
      </c>
      <c r="B295" s="97" t="s">
        <v>471</v>
      </c>
      <c r="C295" s="515" t="str">
        <f>$D$54</f>
        <v>USD</v>
      </c>
      <c r="D295" s="44" t="s">
        <v>472</v>
      </c>
      <c r="E295" s="45"/>
      <c r="F295" s="698">
        <v>117338.06</v>
      </c>
      <c r="G295" s="306" t="str">
        <f>$D$54</f>
        <v>USD</v>
      </c>
      <c r="H295" s="519"/>
      <c r="I295" s="519"/>
      <c r="J295" s="83"/>
      <c r="K295" s="507"/>
    </row>
    <row r="296" spans="1:21">
      <c r="A296" s="498"/>
      <c r="B296" s="11"/>
      <c r="C296" s="56"/>
      <c r="D296" s="26"/>
      <c r="E296" s="52"/>
      <c r="F296" s="517"/>
      <c r="G296" s="518"/>
      <c r="H296" s="518"/>
      <c r="I296" s="518"/>
      <c r="J296" s="520"/>
      <c r="K296" s="500"/>
    </row>
    <row r="297" spans="1:21" ht="15">
      <c r="A297" s="119"/>
      <c r="B297" s="3"/>
      <c r="C297" s="175"/>
      <c r="D297" s="44"/>
      <c r="E297" s="45"/>
      <c r="F297" s="176"/>
      <c r="G297" s="174"/>
      <c r="H297" s="174"/>
      <c r="I297" s="174"/>
      <c r="J297" s="92"/>
      <c r="K297" s="123"/>
    </row>
    <row r="298" spans="1:21" ht="15">
      <c r="A298" s="119"/>
      <c r="B298" s="38"/>
      <c r="C298" s="61"/>
      <c r="D298" s="42"/>
      <c r="E298" s="5"/>
      <c r="F298" s="262"/>
      <c r="G298" s="3"/>
      <c r="H298" s="3"/>
      <c r="I298" s="3"/>
      <c r="J298" s="62"/>
      <c r="K298" s="120"/>
    </row>
    <row r="299" spans="1:21" s="393" customFormat="1" ht="15.75">
      <c r="A299" s="354"/>
      <c r="B299" s="355" t="s">
        <v>486</v>
      </c>
      <c r="C299" s="356"/>
      <c r="D299" s="384"/>
      <c r="E299" s="358"/>
      <c r="F299" s="385"/>
      <c r="G299" s="359"/>
      <c r="H299" s="359"/>
      <c r="I299" s="359"/>
      <c r="J299" s="390"/>
      <c r="K299" s="361"/>
    </row>
    <row r="300" spans="1:21" ht="15">
      <c r="A300" s="119"/>
      <c r="B300" s="3"/>
      <c r="C300" s="57"/>
      <c r="D300" s="25"/>
      <c r="E300" s="25"/>
      <c r="F300" s="312"/>
      <c r="G300" s="25"/>
      <c r="H300" s="25"/>
      <c r="I300" s="25"/>
      <c r="J300" s="92"/>
      <c r="K300" s="123"/>
    </row>
    <row r="301" spans="1:21" s="4" customFormat="1" ht="30">
      <c r="A301" s="119">
        <v>79</v>
      </c>
      <c r="B301" s="97" t="s">
        <v>553</v>
      </c>
      <c r="C301" s="515" t="str">
        <f t="shared" ref="C301" si="8">$D$54</f>
        <v>USD</v>
      </c>
      <c r="D301" s="25" t="s">
        <v>269</v>
      </c>
      <c r="E301" s="5"/>
      <c r="F301" s="698">
        <v>264296</v>
      </c>
      <c r="G301" s="306" t="str">
        <f t="shared" ref="G301:G302" si="9">$D$54</f>
        <v>USD</v>
      </c>
      <c r="H301" s="3"/>
      <c r="I301" s="3"/>
      <c r="J301" s="69"/>
      <c r="K301" s="507"/>
      <c r="L301" s="1"/>
      <c r="M301" s="1"/>
      <c r="N301" s="1"/>
      <c r="O301" s="1"/>
      <c r="P301" s="1"/>
      <c r="Q301" s="1"/>
      <c r="R301" s="1"/>
      <c r="S301" s="1"/>
      <c r="T301" s="1"/>
      <c r="U301" s="1"/>
    </row>
    <row r="302" spans="1:21" ht="15">
      <c r="A302" s="119">
        <v>80</v>
      </c>
      <c r="B302" s="97" t="s">
        <v>487</v>
      </c>
      <c r="C302" s="515" t="str">
        <f>$D$54</f>
        <v>USD</v>
      </c>
      <c r="D302" s="25" t="s">
        <v>488</v>
      </c>
      <c r="E302" s="5"/>
      <c r="F302" s="699">
        <v>72980.19</v>
      </c>
      <c r="G302" s="306" t="str">
        <f t="shared" si="9"/>
        <v>USD</v>
      </c>
      <c r="H302" s="3"/>
      <c r="I302" s="3"/>
      <c r="J302" s="69"/>
      <c r="K302" s="507"/>
    </row>
    <row r="303" spans="1:21">
      <c r="A303" s="498"/>
      <c r="B303" s="11"/>
      <c r="C303" s="56"/>
      <c r="D303" s="26"/>
      <c r="E303" s="52"/>
      <c r="F303" s="309"/>
      <c r="G303" s="11"/>
      <c r="H303" s="11"/>
      <c r="I303" s="11"/>
      <c r="J303" s="273"/>
      <c r="K303" s="500"/>
    </row>
    <row r="304" spans="1:21" ht="15">
      <c r="A304" s="119"/>
      <c r="B304" s="3"/>
      <c r="C304" s="57"/>
      <c r="D304" s="25"/>
      <c r="E304" s="25"/>
      <c r="F304" s="312"/>
      <c r="G304" s="25"/>
      <c r="H304" s="25"/>
      <c r="I304" s="25"/>
      <c r="J304" s="92"/>
      <c r="K304" s="123"/>
    </row>
    <row r="305" spans="1:11" s="393" customFormat="1" ht="15.75">
      <c r="A305" s="354"/>
      <c r="B305" s="355" t="s">
        <v>475</v>
      </c>
      <c r="C305" s="356"/>
      <c r="D305" s="357"/>
      <c r="E305" s="358"/>
      <c r="F305" s="387"/>
      <c r="G305" s="391"/>
      <c r="H305" s="391"/>
      <c r="I305" s="391"/>
      <c r="J305" s="392"/>
      <c r="K305" s="361"/>
    </row>
    <row r="306" spans="1:11" ht="15">
      <c r="A306" s="119"/>
      <c r="B306" s="3"/>
      <c r="C306" s="57"/>
      <c r="D306" s="25"/>
      <c r="E306" s="25"/>
      <c r="F306" s="312"/>
      <c r="G306" s="25"/>
      <c r="H306" s="25"/>
      <c r="I306" s="25"/>
      <c r="J306" s="92"/>
      <c r="K306" s="123"/>
    </row>
    <row r="307" spans="1:11" ht="36" customHeight="1">
      <c r="A307" s="119">
        <v>81</v>
      </c>
      <c r="B307" s="97" t="s">
        <v>490</v>
      </c>
      <c r="C307" s="515" t="str">
        <f t="shared" ref="C307:C308" si="10">$D$54</f>
        <v>USD</v>
      </c>
      <c r="D307" s="25" t="s">
        <v>491</v>
      </c>
      <c r="E307" s="5"/>
      <c r="F307" s="699">
        <v>229291.78000000003</v>
      </c>
      <c r="G307" s="306" t="str">
        <f t="shared" ref="G307:G308" si="11">$D$54</f>
        <v>USD</v>
      </c>
      <c r="H307" s="3"/>
      <c r="I307" s="3"/>
      <c r="J307" s="68"/>
      <c r="K307" s="509"/>
    </row>
    <row r="308" spans="1:11" ht="45.75">
      <c r="A308" s="119">
        <v>82</v>
      </c>
      <c r="B308" s="97" t="s">
        <v>476</v>
      </c>
      <c r="C308" s="515" t="str">
        <f t="shared" si="10"/>
        <v>USD</v>
      </c>
      <c r="D308" s="25" t="s">
        <v>551</v>
      </c>
      <c r="E308" s="5"/>
      <c r="F308" s="622">
        <v>0</v>
      </c>
      <c r="G308" s="306" t="str">
        <f t="shared" si="11"/>
        <v>USD</v>
      </c>
      <c r="H308" s="3"/>
      <c r="I308" s="3"/>
      <c r="J308" s="68"/>
      <c r="K308" s="507"/>
    </row>
    <row r="309" spans="1:11">
      <c r="A309" s="498"/>
      <c r="B309" s="11"/>
      <c r="C309" s="56"/>
      <c r="D309" s="26"/>
      <c r="E309" s="52"/>
      <c r="F309" s="84"/>
      <c r="G309" s="518"/>
      <c r="H309" s="11"/>
      <c r="I309" s="11"/>
      <c r="J309" s="273"/>
      <c r="K309" s="500"/>
    </row>
    <row r="310" spans="1:11" ht="15.75">
      <c r="A310" s="119">
        <v>83</v>
      </c>
      <c r="B310" s="97" t="s">
        <v>478</v>
      </c>
      <c r="C310" s="515" t="str">
        <f>$D$54</f>
        <v>USD</v>
      </c>
      <c r="D310" s="25" t="s">
        <v>479</v>
      </c>
      <c r="E310" s="5"/>
      <c r="F310" s="699">
        <v>151770.42000000001</v>
      </c>
      <c r="G310" s="306" t="str">
        <f>$D$54</f>
        <v>USD</v>
      </c>
      <c r="H310" s="3"/>
      <c r="I310" s="3"/>
      <c r="J310" s="68"/>
      <c r="K310" s="507"/>
    </row>
    <row r="311" spans="1:11" ht="15">
      <c r="A311" s="126"/>
      <c r="B311" s="82"/>
      <c r="C311" s="128"/>
      <c r="D311" s="129"/>
      <c r="E311" s="129"/>
      <c r="F311" s="324"/>
      <c r="G311" s="129"/>
      <c r="H311" s="129"/>
      <c r="I311" s="129"/>
      <c r="J311" s="130"/>
      <c r="K311" s="131"/>
    </row>
    <row r="312" spans="1:11" ht="15">
      <c r="A312" s="119"/>
      <c r="B312" s="3"/>
      <c r="C312" s="57"/>
      <c r="D312" s="25"/>
      <c r="E312" s="25"/>
      <c r="F312" s="312"/>
      <c r="G312" s="25"/>
      <c r="H312" s="25"/>
      <c r="I312" s="25"/>
      <c r="J312" s="92"/>
      <c r="K312" s="123"/>
    </row>
    <row r="313" spans="1:11" ht="31.5">
      <c r="A313" s="136"/>
      <c r="B313" s="395" t="s">
        <v>480</v>
      </c>
      <c r="C313" s="396"/>
      <c r="D313" s="397" t="s">
        <v>655</v>
      </c>
      <c r="E313" s="398"/>
      <c r="F313" s="561" t="s">
        <v>162</v>
      </c>
      <c r="G313" s="399" t="s">
        <v>656</v>
      </c>
      <c r="H313" s="400"/>
      <c r="I313" s="137"/>
      <c r="J313" s="141"/>
      <c r="K313" s="507"/>
    </row>
    <row r="314" spans="1:11" ht="15">
      <c r="A314" s="119"/>
      <c r="B314" s="366"/>
      <c r="C314" s="365"/>
      <c r="D314" s="249"/>
      <c r="E314" s="249"/>
      <c r="F314" s="367"/>
      <c r="G314" s="249"/>
      <c r="H314" s="249"/>
      <c r="I314" s="25"/>
      <c r="J314" s="92"/>
      <c r="K314" s="123"/>
    </row>
    <row r="315" spans="1:11" ht="38.25" customHeight="1">
      <c r="A315" s="136"/>
      <c r="B315" s="395" t="s">
        <v>657</v>
      </c>
      <c r="C315" s="396"/>
      <c r="D315" s="397" t="s">
        <v>858</v>
      </c>
      <c r="E315" s="398"/>
      <c r="F315" s="561" t="s">
        <v>145</v>
      </c>
      <c r="G315" s="399" t="s">
        <v>656</v>
      </c>
      <c r="H315" s="400"/>
      <c r="I315" s="137"/>
      <c r="J315" s="141"/>
      <c r="K315" s="507"/>
    </row>
  </sheetData>
  <sheetProtection sheet="1" objects="1" scenarios="1"/>
  <dataConsolidate/>
  <customSheetViews>
    <customSheetView guid="{9FA5A1E5-0041-4CF2-96F3-E68C0E78B62E}" showPageBreaks="1" fitToPage="1" printArea="1" hiddenRows="1" view="pageBreakPreview" topLeftCell="B244">
      <selection activeCell="G240" sqref="G240"/>
      <rowBreaks count="3" manualBreakCount="3">
        <brk id="136" max="10" man="1"/>
        <brk id="195" max="10" man="1"/>
        <brk id="263" max="10" man="1"/>
      </rowBreaks>
      <pageMargins left="0.51181102362204722" right="0.43307086614173229" top="0.35433070866141736" bottom="0.35433070866141736" header="0.31496062992125984" footer="0.19685039370078741"/>
      <pageSetup paperSize="8" scale="29" fitToHeight="4" orientation="portrait" r:id="rId1"/>
      <headerFooter alignWithMargins="0">
        <oddFooter>&amp;F&amp;RPage &amp;P</oddFooter>
      </headerFooter>
    </customSheetView>
    <customSheetView guid="{9105A0FE-F516-45E7-BB15-EE4CC4A8DCAA}" scale="75" showPageBreaks="1" fitToPage="1" printArea="1" hiddenRows="1" topLeftCell="A293">
      <selection activeCell="H272" sqref="H272"/>
      <rowBreaks count="3" manualBreakCount="3">
        <brk id="136" max="10" man="1"/>
        <brk id="195" max="10" man="1"/>
        <brk id="263" max="10" man="1"/>
      </rowBreaks>
      <pageMargins left="0.51181102362204722" right="0.43307086614173229" top="0.35433070866141736" bottom="0.35433070866141736" header="0.31496062992125984" footer="0.19685039370078741"/>
      <pageSetup paperSize="8" scale="42" fitToHeight="4" orientation="portrait" r:id="rId2"/>
      <headerFooter alignWithMargins="0">
        <oddFooter>&amp;F&amp;RPage &amp;P</oddFooter>
      </headerFooter>
    </customSheetView>
    <customSheetView guid="{70876BBE-780D-4266-8AA2-8D4502B62343}" showPageBreaks="1" fitToPage="1" printArea="1" hiddenRows="1" view="pageBreakPreview" topLeftCell="B262">
      <selection activeCell="G240" sqref="G240"/>
      <rowBreaks count="3" manualBreakCount="3">
        <brk id="136" max="10" man="1"/>
        <brk id="195" max="10" man="1"/>
        <brk id="263" max="10" man="1"/>
      </rowBreaks>
      <pageMargins left="0.51181102362204722" right="0.43307086614173229" top="0.35433070866141736" bottom="0.35433070866141736" header="0.31496062992125984" footer="0.19685039370078741"/>
      <pageSetup paperSize="8" scale="29" fitToHeight="4" orientation="portrait" r:id="rId3"/>
      <headerFooter alignWithMargins="0">
        <oddFooter>&amp;F&amp;RPage &amp;P</oddFooter>
      </headerFooter>
    </customSheetView>
  </customSheetViews>
  <mergeCells count="29">
    <mergeCell ref="B24:K24"/>
    <mergeCell ref="B25:K25"/>
    <mergeCell ref="B19:K19"/>
    <mergeCell ref="B22:K22"/>
    <mergeCell ref="B20:K20"/>
    <mergeCell ref="B21:K21"/>
    <mergeCell ref="B177:K177"/>
    <mergeCell ref="F266:J266"/>
    <mergeCell ref="C35:D35"/>
    <mergeCell ref="C36:D36"/>
    <mergeCell ref="C37:D37"/>
    <mergeCell ref="C38:D38"/>
    <mergeCell ref="C39:D39"/>
    <mergeCell ref="C40:D40"/>
    <mergeCell ref="C41:D41"/>
    <mergeCell ref="B51:C51"/>
    <mergeCell ref="B54:C54"/>
    <mergeCell ref="C44:D44"/>
    <mergeCell ref="C42:D42"/>
    <mergeCell ref="C43:D43"/>
    <mergeCell ref="F54:I54"/>
    <mergeCell ref="B47:C47"/>
    <mergeCell ref="B26:K26"/>
    <mergeCell ref="B27:K27"/>
    <mergeCell ref="B29:K29"/>
    <mergeCell ref="B28:K28"/>
    <mergeCell ref="B175:C175"/>
    <mergeCell ref="C33:K33"/>
    <mergeCell ref="B48:C48"/>
  </mergeCells>
  <phoneticPr fontId="0" type="noConversion"/>
  <dataValidations xWindow="1012" yWindow="430" count="8">
    <dataValidation type="list" allowBlank="1" showInputMessage="1" showErrorMessage="1" sqref="F161 F313 F284 F262 F200 F202:F213 F153:F154 F249 F251 F315">
      <formula1>ValidYesNo</formula1>
    </dataValidation>
    <dataValidation type="list" allowBlank="1" showInputMessage="1" showErrorMessage="1" sqref="F260">
      <formula1>$M$18:$M$19</formula1>
    </dataValidation>
    <dataValidation type="list" allowBlank="1" showInputMessage="1" showErrorMessage="1" sqref="G169 G183">
      <formula1>$M$15:$M$16</formula1>
    </dataValidation>
    <dataValidation type="list" allowBlank="1" showInputMessage="1" showErrorMessage="1" sqref="J124:J128 J139">
      <formula1>$M$11:$M$13</formula1>
    </dataValidation>
    <dataValidation type="list" allowBlank="1" showInputMessage="1" showErrorMessage="1" prompt="Select Currency" sqref="D54">
      <formula1>$M$25:$M$35</formula1>
    </dataValidation>
    <dataValidation type="list" allowBlank="1" showInputMessage="1" showErrorMessage="1" prompt="Select start date&#10;" sqref="D47">
      <formula1>$M$52:$M$54</formula1>
    </dataValidation>
    <dataValidation type="list" allowBlank="1" showInputMessage="1" showErrorMessage="1" prompt="Select end date&#10;" sqref="D48">
      <formula1>$M$56:$M$58</formula1>
    </dataValidation>
    <dataValidation type="list" allowBlank="1" showInputMessage="1" showErrorMessage="1" sqref="J131:J135">
      <formula1>$M$21:$M$22</formula1>
    </dataValidation>
  </dataValidations>
  <pageMargins left="0.51181102362204722" right="0.43307086614173229" top="0.35433070866141736" bottom="0.35433070866141736" header="0.31496062992125984" footer="0.19685039370078741"/>
  <pageSetup paperSize="8" scale="29" fitToHeight="4" orientation="portrait" r:id="rId4"/>
  <headerFooter alignWithMargins="0">
    <oddFooter>&amp;F&amp;RPage &amp;P</oddFooter>
  </headerFooter>
  <rowBreaks count="3" manualBreakCount="3">
    <brk id="136" max="10" man="1"/>
    <brk id="195" max="10" man="1"/>
    <brk id="263" max="10" man="1"/>
  </rowBreaks>
  <drawing r:id="rId5"/>
  <legacy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K91"/>
  <sheetViews>
    <sheetView view="pageBreakPreview" topLeftCell="A7" zoomScale="80" zoomScaleSheetLayoutView="80" workbookViewId="0">
      <selection activeCell="I15" sqref="I15"/>
    </sheetView>
  </sheetViews>
  <sheetFormatPr defaultColWidth="9.140625" defaultRowHeight="61.5" customHeight="1"/>
  <cols>
    <col min="1" max="1" width="19" style="178" customWidth="1"/>
    <col min="2" max="2" width="18.28515625" style="178" customWidth="1"/>
    <col min="3" max="3" width="81.140625" style="178" customWidth="1"/>
    <col min="4" max="4" width="35.7109375" style="178" customWidth="1"/>
    <col min="5" max="5" width="49.28515625" style="178" customWidth="1"/>
    <col min="6" max="16384" width="9.140625" style="178"/>
  </cols>
  <sheetData>
    <row r="1" spans="1:7" ht="26.25" customHeight="1">
      <c r="A1" s="177" t="s">
        <v>492</v>
      </c>
      <c r="B1"/>
      <c r="C1"/>
      <c r="D1"/>
      <c r="E1"/>
    </row>
    <row r="2" spans="1:7" ht="17.25" customHeight="1">
      <c r="A2" s="179" t="s">
        <v>566</v>
      </c>
      <c r="B2"/>
      <c r="C2"/>
      <c r="D2"/>
      <c r="E2"/>
    </row>
    <row r="3" spans="1:7" ht="12" customHeight="1">
      <c r="A3"/>
      <c r="B3"/>
      <c r="C3"/>
      <c r="D3"/>
      <c r="E3"/>
    </row>
    <row r="4" spans="1:7" ht="61.5" customHeight="1">
      <c r="A4" s="756" t="s">
        <v>572</v>
      </c>
      <c r="B4" s="756"/>
      <c r="C4" s="756"/>
      <c r="D4"/>
      <c r="E4"/>
    </row>
    <row r="5" spans="1:7" ht="61.5" customHeight="1">
      <c r="A5" s="756"/>
      <c r="B5" s="756"/>
      <c r="C5" s="756"/>
      <c r="D5"/>
      <c r="E5"/>
    </row>
    <row r="6" spans="1:7" ht="61.5" customHeight="1">
      <c r="A6" s="756"/>
      <c r="B6" s="756"/>
      <c r="C6" s="756"/>
      <c r="D6"/>
      <c r="E6"/>
    </row>
    <row r="7" spans="1:7" ht="15" customHeight="1">
      <c r="A7" s="756"/>
      <c r="B7" s="756"/>
      <c r="C7" s="756"/>
      <c r="D7"/>
      <c r="E7"/>
    </row>
    <row r="8" spans="1:7" ht="61.5" hidden="1" customHeight="1">
      <c r="A8" s="756"/>
      <c r="B8" s="756"/>
      <c r="C8" s="756"/>
      <c r="D8"/>
      <c r="E8"/>
    </row>
    <row r="9" spans="1:7" ht="14.25" customHeight="1">
      <c r="A9"/>
      <c r="B9"/>
      <c r="C9"/>
      <c r="D9"/>
      <c r="E9"/>
    </row>
    <row r="10" spans="1:7" ht="21" customHeight="1" thickBot="1">
      <c r="A10" s="180" t="s">
        <v>493</v>
      </c>
      <c r="B10"/>
      <c r="C10"/>
      <c r="D10"/>
      <c r="E10"/>
    </row>
    <row r="11" spans="1:7" ht="61.5" customHeight="1">
      <c r="A11" s="181" t="s">
        <v>494</v>
      </c>
      <c r="B11" s="753" t="s">
        <v>495</v>
      </c>
      <c r="C11" s="754"/>
      <c r="D11" s="182" t="s">
        <v>496</v>
      </c>
      <c r="E11" s="464" t="s">
        <v>767</v>
      </c>
    </row>
    <row r="12" spans="1:7" ht="61.5" customHeight="1">
      <c r="A12" s="183" t="s">
        <v>497</v>
      </c>
      <c r="B12" s="752" t="s">
        <v>498</v>
      </c>
      <c r="C12" s="752"/>
      <c r="D12" s="694" t="s">
        <v>429</v>
      </c>
      <c r="E12" s="463" t="s">
        <v>761</v>
      </c>
      <c r="G12" s="305" t="s">
        <v>428</v>
      </c>
    </row>
    <row r="13" spans="1:7" ht="61.5" customHeight="1">
      <c r="A13" s="183" t="s">
        <v>499</v>
      </c>
      <c r="B13" s="752" t="s">
        <v>500</v>
      </c>
      <c r="C13" s="752"/>
      <c r="D13" s="694" t="s">
        <v>429</v>
      </c>
      <c r="E13" s="463" t="s">
        <v>762</v>
      </c>
      <c r="G13" s="305" t="s">
        <v>429</v>
      </c>
    </row>
    <row r="14" spans="1:7" ht="61.5" customHeight="1">
      <c r="A14" s="183" t="s">
        <v>501</v>
      </c>
      <c r="B14" s="752" t="s">
        <v>502</v>
      </c>
      <c r="C14" s="752"/>
      <c r="D14" s="694" t="s">
        <v>429</v>
      </c>
      <c r="E14" s="463" t="s">
        <v>763</v>
      </c>
      <c r="G14" s="305" t="s">
        <v>430</v>
      </c>
    </row>
    <row r="15" spans="1:7" ht="61.5" customHeight="1">
      <c r="A15" s="183" t="s">
        <v>503</v>
      </c>
      <c r="B15" s="752" t="s">
        <v>505</v>
      </c>
      <c r="C15" s="752"/>
      <c r="D15" s="694" t="s">
        <v>429</v>
      </c>
      <c r="E15" s="463" t="s">
        <v>764</v>
      </c>
      <c r="G15" s="305" t="s">
        <v>431</v>
      </c>
    </row>
    <row r="16" spans="1:7" ht="61.5" customHeight="1">
      <c r="A16" s="183" t="s">
        <v>506</v>
      </c>
      <c r="B16" s="752" t="s">
        <v>507</v>
      </c>
      <c r="C16" s="752"/>
      <c r="D16" s="694" t="s">
        <v>428</v>
      </c>
      <c r="E16" s="463" t="s">
        <v>765</v>
      </c>
      <c r="G16" s="305"/>
    </row>
    <row r="17" spans="1:5" ht="61.5" customHeight="1">
      <c r="A17" s="183" t="s">
        <v>508</v>
      </c>
      <c r="B17" s="752" t="s">
        <v>509</v>
      </c>
      <c r="C17" s="752"/>
      <c r="D17" s="694" t="s">
        <v>428</v>
      </c>
      <c r="E17" s="463" t="s">
        <v>766</v>
      </c>
    </row>
    <row r="18" spans="1:5" ht="16.5" customHeight="1">
      <c r="A18" s="184"/>
      <c r="B18" s="185"/>
      <c r="C18" s="185"/>
      <c r="D18"/>
      <c r="E18"/>
    </row>
    <row r="19" spans="1:5" ht="13.5" customHeight="1">
      <c r="A19"/>
      <c r="B19"/>
      <c r="C19"/>
      <c r="D19"/>
      <c r="E19"/>
    </row>
    <row r="20" spans="1:5" ht="20.25" customHeight="1" thickBot="1">
      <c r="A20" s="180" t="s">
        <v>510</v>
      </c>
      <c r="B20"/>
      <c r="C20"/>
      <c r="D20"/>
      <c r="E20"/>
    </row>
    <row r="21" spans="1:5" ht="61.5" customHeight="1">
      <c r="A21" s="181" t="s">
        <v>511</v>
      </c>
      <c r="B21" s="186" t="s">
        <v>512</v>
      </c>
      <c r="C21" s="187" t="s">
        <v>495</v>
      </c>
      <c r="D21"/>
      <c r="E21"/>
    </row>
    <row r="22" spans="1:5" ht="61.5" customHeight="1">
      <c r="A22" s="203" t="s">
        <v>428</v>
      </c>
      <c r="B22" s="188" t="s">
        <v>513</v>
      </c>
      <c r="C22" s="189" t="s">
        <v>514</v>
      </c>
      <c r="D22"/>
      <c r="E22"/>
    </row>
    <row r="23" spans="1:5" ht="61.5" customHeight="1">
      <c r="A23" s="204" t="s">
        <v>429</v>
      </c>
      <c r="B23" s="188" t="s">
        <v>515</v>
      </c>
      <c r="C23" s="189" t="s">
        <v>516</v>
      </c>
      <c r="D23"/>
      <c r="E23"/>
    </row>
    <row r="24" spans="1:5" ht="61.5" customHeight="1">
      <c r="A24" s="205" t="s">
        <v>430</v>
      </c>
      <c r="B24" s="188" t="s">
        <v>517</v>
      </c>
      <c r="C24" s="189" t="s">
        <v>518</v>
      </c>
      <c r="D24"/>
      <c r="E24"/>
    </row>
    <row r="25" spans="1:5" ht="61.5" customHeight="1" thickBot="1">
      <c r="A25" s="206" t="s">
        <v>431</v>
      </c>
      <c r="B25" s="190" t="s">
        <v>519</v>
      </c>
      <c r="C25" s="191" t="s">
        <v>520</v>
      </c>
      <c r="D25"/>
      <c r="E25"/>
    </row>
    <row r="26" spans="1:5" ht="25.5" customHeight="1">
      <c r="A26"/>
      <c r="B26"/>
      <c r="C26" s="192"/>
      <c r="D26"/>
      <c r="E26"/>
    </row>
    <row r="27" spans="1:5" ht="18" customHeight="1">
      <c r="A27"/>
      <c r="B27"/>
      <c r="C27" s="192"/>
      <c r="D27"/>
      <c r="E27"/>
    </row>
    <row r="28" spans="1:5" ht="18.75" customHeight="1" thickBot="1">
      <c r="A28" s="180" t="s">
        <v>521</v>
      </c>
      <c r="B28"/>
      <c r="C28" s="192"/>
      <c r="D28"/>
      <c r="E28"/>
    </row>
    <row r="29" spans="1:5" ht="61.5" customHeight="1" thickBot="1">
      <c r="A29" s="181" t="s">
        <v>511</v>
      </c>
      <c r="B29" s="753" t="s">
        <v>495</v>
      </c>
      <c r="C29" s="754"/>
      <c r="D29" s="182"/>
      <c r="E29" s="182"/>
    </row>
    <row r="30" spans="1:5" ht="61.5" customHeight="1">
      <c r="A30" s="183" t="s">
        <v>497</v>
      </c>
      <c r="B30" s="755" t="s">
        <v>498</v>
      </c>
      <c r="C30" s="755"/>
      <c r="D30" s="182" t="s">
        <v>522</v>
      </c>
      <c r="E30" s="182" t="s">
        <v>76</v>
      </c>
    </row>
    <row r="31" spans="1:5" ht="61.5" customHeight="1">
      <c r="A31" s="203" t="s">
        <v>428</v>
      </c>
      <c r="B31" s="746" t="s">
        <v>523</v>
      </c>
      <c r="C31" s="747"/>
      <c r="D31" s="748" t="s">
        <v>524</v>
      </c>
      <c r="E31" s="740"/>
    </row>
    <row r="32" spans="1:5" ht="61.5" customHeight="1">
      <c r="A32" s="204" t="s">
        <v>429</v>
      </c>
      <c r="B32" s="746" t="s">
        <v>526</v>
      </c>
      <c r="C32" s="747"/>
      <c r="D32" s="749"/>
      <c r="E32" s="740"/>
    </row>
    <row r="33" spans="1:5" ht="61.5" customHeight="1">
      <c r="A33" s="205" t="s">
        <v>430</v>
      </c>
      <c r="B33" s="746" t="s">
        <v>527</v>
      </c>
      <c r="C33" s="747"/>
      <c r="D33" s="749"/>
      <c r="E33" s="740"/>
    </row>
    <row r="34" spans="1:5" ht="61.5" customHeight="1" thickBot="1">
      <c r="A34" s="206" t="s">
        <v>431</v>
      </c>
      <c r="B34" s="746" t="s">
        <v>528</v>
      </c>
      <c r="C34" s="747"/>
      <c r="D34" s="750"/>
      <c r="E34" s="751"/>
    </row>
    <row r="35" spans="1:5" ht="22.5" customHeight="1" thickBot="1">
      <c r="A35" s="193"/>
      <c r="B35" s="194"/>
      <c r="C35" s="194"/>
      <c r="D35" s="195"/>
      <c r="E35" s="195"/>
    </row>
    <row r="36" spans="1:5" ht="61.5" customHeight="1">
      <c r="A36" s="183" t="s">
        <v>499</v>
      </c>
      <c r="B36" s="728" t="s">
        <v>500</v>
      </c>
      <c r="C36" s="728"/>
      <c r="D36" s="182" t="s">
        <v>522</v>
      </c>
      <c r="E36" s="182" t="s">
        <v>76</v>
      </c>
    </row>
    <row r="37" spans="1:5" ht="61.5" customHeight="1">
      <c r="A37" s="203" t="s">
        <v>428</v>
      </c>
      <c r="B37" s="746" t="s">
        <v>529</v>
      </c>
      <c r="C37" s="747"/>
      <c r="D37" s="731" t="s">
        <v>570</v>
      </c>
      <c r="E37" s="740"/>
    </row>
    <row r="38" spans="1:5" ht="61.5" customHeight="1">
      <c r="A38" s="204" t="s">
        <v>429</v>
      </c>
      <c r="B38" s="737" t="s">
        <v>530</v>
      </c>
      <c r="C38" s="738"/>
      <c r="D38" s="732"/>
      <c r="E38" s="740"/>
    </row>
    <row r="39" spans="1:5" ht="61.5" customHeight="1">
      <c r="A39" s="205" t="s">
        <v>430</v>
      </c>
      <c r="B39" s="737" t="s">
        <v>531</v>
      </c>
      <c r="C39" s="738"/>
      <c r="D39" s="732"/>
      <c r="E39" s="740"/>
    </row>
    <row r="40" spans="1:5" ht="61.5" customHeight="1" thickBot="1">
      <c r="A40" s="206" t="s">
        <v>431</v>
      </c>
      <c r="B40" s="737" t="s">
        <v>532</v>
      </c>
      <c r="C40" s="738"/>
      <c r="D40" s="739"/>
      <c r="E40" s="751"/>
    </row>
    <row r="41" spans="1:5" ht="61.5" customHeight="1" thickBot="1">
      <c r="A41" s="193"/>
      <c r="B41" s="194"/>
      <c r="C41" s="194"/>
      <c r="D41" s="195"/>
      <c r="E41" s="195"/>
    </row>
    <row r="42" spans="1:5" ht="61.5" customHeight="1">
      <c r="A42" s="183" t="s">
        <v>501</v>
      </c>
      <c r="B42" s="728" t="s">
        <v>502</v>
      </c>
      <c r="C42" s="728"/>
      <c r="D42" s="182" t="s">
        <v>522</v>
      </c>
      <c r="E42" s="182" t="s">
        <v>76</v>
      </c>
    </row>
    <row r="43" spans="1:5" ht="61.5" customHeight="1">
      <c r="A43" s="203" t="s">
        <v>428</v>
      </c>
      <c r="B43" s="746" t="s">
        <v>533</v>
      </c>
      <c r="C43" s="747"/>
      <c r="D43" s="731" t="s">
        <v>567</v>
      </c>
      <c r="E43" s="740"/>
    </row>
    <row r="44" spans="1:5" ht="61.5" customHeight="1">
      <c r="A44" s="204" t="s">
        <v>429</v>
      </c>
      <c r="B44" s="737" t="s">
        <v>534</v>
      </c>
      <c r="C44" s="738"/>
      <c r="D44" s="732"/>
      <c r="E44" s="741"/>
    </row>
    <row r="45" spans="1:5" ht="61.5" customHeight="1">
      <c r="A45" s="205" t="s">
        <v>430</v>
      </c>
      <c r="B45" s="737" t="s">
        <v>535</v>
      </c>
      <c r="C45" s="738"/>
      <c r="D45" s="732"/>
      <c r="E45" s="741"/>
    </row>
    <row r="46" spans="1:5" ht="61.5" customHeight="1" thickBot="1">
      <c r="A46" s="206" t="s">
        <v>431</v>
      </c>
      <c r="B46" s="737" t="s">
        <v>536</v>
      </c>
      <c r="C46" s="738"/>
      <c r="D46" s="739"/>
      <c r="E46" s="742"/>
    </row>
    <row r="47" spans="1:5" ht="61.5" customHeight="1" thickBot="1">
      <c r="A47" s="193"/>
      <c r="B47" s="194"/>
      <c r="C47" s="194"/>
      <c r="D47" s="195"/>
      <c r="E47" s="195"/>
    </row>
    <row r="48" spans="1:5" ht="61.5" customHeight="1">
      <c r="A48" s="183" t="s">
        <v>503</v>
      </c>
      <c r="B48" s="728" t="s">
        <v>505</v>
      </c>
      <c r="C48" s="728"/>
      <c r="D48" s="182" t="s">
        <v>522</v>
      </c>
      <c r="E48" s="182" t="s">
        <v>76</v>
      </c>
    </row>
    <row r="49" spans="1:5" ht="87" customHeight="1">
      <c r="A49" s="203" t="s">
        <v>428</v>
      </c>
      <c r="B49" s="729" t="s">
        <v>537</v>
      </c>
      <c r="C49" s="730"/>
      <c r="D49" s="743" t="s">
        <v>571</v>
      </c>
      <c r="E49" s="740"/>
    </row>
    <row r="50" spans="1:5" ht="61.5" customHeight="1">
      <c r="A50" s="204" t="s">
        <v>429</v>
      </c>
      <c r="B50" s="729" t="s">
        <v>538</v>
      </c>
      <c r="C50" s="730"/>
      <c r="D50" s="744"/>
      <c r="E50" s="741"/>
    </row>
    <row r="51" spans="1:5" ht="61.5" customHeight="1">
      <c r="A51" s="205" t="s">
        <v>430</v>
      </c>
      <c r="B51" s="735" t="s">
        <v>539</v>
      </c>
      <c r="C51" s="736"/>
      <c r="D51" s="744"/>
      <c r="E51" s="741"/>
    </row>
    <row r="52" spans="1:5" ht="61.5" customHeight="1" thickBot="1">
      <c r="A52" s="206" t="s">
        <v>431</v>
      </c>
      <c r="B52" s="735" t="s">
        <v>540</v>
      </c>
      <c r="C52" s="736"/>
      <c r="D52" s="745"/>
      <c r="E52" s="742"/>
    </row>
    <row r="53" spans="1:5" ht="61.5" customHeight="1" thickBot="1">
      <c r="A53" s="193"/>
      <c r="B53" s="194"/>
      <c r="C53" s="194"/>
      <c r="D53" s="195"/>
      <c r="E53" s="195"/>
    </row>
    <row r="54" spans="1:5" ht="61.5" customHeight="1">
      <c r="A54" s="183" t="s">
        <v>506</v>
      </c>
      <c r="B54" s="728" t="s">
        <v>507</v>
      </c>
      <c r="C54" s="728"/>
      <c r="D54" s="182" t="s">
        <v>522</v>
      </c>
      <c r="E54" s="182" t="s">
        <v>76</v>
      </c>
    </row>
    <row r="55" spans="1:5" ht="61.5" customHeight="1">
      <c r="A55" s="203" t="s">
        <v>428</v>
      </c>
      <c r="B55" s="729" t="s">
        <v>541</v>
      </c>
      <c r="C55" s="730"/>
      <c r="D55" s="731" t="s">
        <v>568</v>
      </c>
      <c r="E55" s="740"/>
    </row>
    <row r="56" spans="1:5" ht="61.5" customHeight="1">
      <c r="A56" s="204" t="s">
        <v>429</v>
      </c>
      <c r="B56" s="735" t="s">
        <v>542</v>
      </c>
      <c r="C56" s="736"/>
      <c r="D56" s="732"/>
      <c r="E56" s="741"/>
    </row>
    <row r="57" spans="1:5" ht="61.5" customHeight="1">
      <c r="A57" s="205" t="s">
        <v>430</v>
      </c>
      <c r="B57" s="735" t="s">
        <v>543</v>
      </c>
      <c r="C57" s="736"/>
      <c r="D57" s="732"/>
      <c r="E57" s="741"/>
    </row>
    <row r="58" spans="1:5" ht="61.5" customHeight="1" thickBot="1">
      <c r="A58" s="206" t="s">
        <v>431</v>
      </c>
      <c r="B58" s="735" t="s">
        <v>544</v>
      </c>
      <c r="C58" s="736"/>
      <c r="D58" s="739"/>
      <c r="E58" s="742"/>
    </row>
    <row r="59" spans="1:5" ht="61.5" customHeight="1" thickBot="1">
      <c r="A59" s="193"/>
      <c r="B59" s="194"/>
      <c r="C59" s="194"/>
      <c r="D59" s="195"/>
      <c r="E59" s="195"/>
    </row>
    <row r="60" spans="1:5" ht="61.5" customHeight="1">
      <c r="A60" s="183" t="s">
        <v>508</v>
      </c>
      <c r="B60" s="728" t="s">
        <v>509</v>
      </c>
      <c r="C60" s="728"/>
      <c r="D60" s="182" t="s">
        <v>522</v>
      </c>
      <c r="E60" s="182" t="s">
        <v>76</v>
      </c>
    </row>
    <row r="61" spans="1:5" ht="61.5" customHeight="1">
      <c r="A61" s="551" t="s">
        <v>428</v>
      </c>
      <c r="B61" s="729" t="s">
        <v>545</v>
      </c>
      <c r="C61" s="730"/>
      <c r="D61" s="731" t="s">
        <v>569</v>
      </c>
      <c r="E61" s="733"/>
    </row>
    <row r="62" spans="1:5" ht="61.5" customHeight="1">
      <c r="A62" s="204" t="s">
        <v>429</v>
      </c>
      <c r="B62" s="735" t="s">
        <v>546</v>
      </c>
      <c r="C62" s="736"/>
      <c r="D62" s="732"/>
      <c r="E62" s="734"/>
    </row>
    <row r="63" spans="1:5" ht="61.5" customHeight="1">
      <c r="A63" s="205" t="s">
        <v>430</v>
      </c>
      <c r="B63" s="737" t="s">
        <v>547</v>
      </c>
      <c r="C63" s="738"/>
      <c r="D63" s="732"/>
      <c r="E63" s="734"/>
    </row>
    <row r="64" spans="1:5" ht="61.5" customHeight="1" thickBot="1">
      <c r="A64" s="206" t="s">
        <v>431</v>
      </c>
      <c r="B64" s="737" t="s">
        <v>548</v>
      </c>
      <c r="C64" s="738"/>
      <c r="D64" s="732"/>
      <c r="E64" s="734"/>
    </row>
    <row r="65" spans="1:11" customFormat="1" ht="69" customHeight="1">
      <c r="A65" s="498"/>
      <c r="B65" s="645" t="s">
        <v>814</v>
      </c>
      <c r="C65" s="630"/>
      <c r="D65" s="249"/>
      <c r="E65" s="631"/>
      <c r="F65" s="632"/>
      <c r="G65" s="633"/>
      <c r="H65" s="634"/>
      <c r="I65" s="11"/>
      <c r="J65" s="273"/>
      <c r="K65" s="629"/>
    </row>
    <row r="66" spans="1:11" ht="61.5" customHeight="1">
      <c r="C66" s="196"/>
    </row>
    <row r="67" spans="1:11" ht="61.5" customHeight="1">
      <c r="C67" s="196"/>
    </row>
    <row r="68" spans="1:11" ht="61.5" customHeight="1">
      <c r="C68" s="196"/>
    </row>
    <row r="69" spans="1:11" ht="61.5" customHeight="1">
      <c r="C69" s="196"/>
    </row>
    <row r="70" spans="1:11" ht="61.5" customHeight="1">
      <c r="C70" s="196"/>
    </row>
    <row r="71" spans="1:11" ht="61.5" customHeight="1">
      <c r="C71" s="196"/>
    </row>
    <row r="72" spans="1:11" ht="61.5" customHeight="1">
      <c r="C72" s="196"/>
    </row>
    <row r="73" spans="1:11" ht="61.5" customHeight="1">
      <c r="C73" s="196"/>
    </row>
    <row r="74" spans="1:11" ht="61.5" customHeight="1">
      <c r="C74" s="196"/>
    </row>
    <row r="75" spans="1:11" ht="61.5" customHeight="1">
      <c r="C75" s="196"/>
    </row>
    <row r="76" spans="1:11" ht="61.5" customHeight="1">
      <c r="C76" s="196"/>
    </row>
    <row r="77" spans="1:11" ht="61.5" customHeight="1">
      <c r="C77" s="196"/>
    </row>
    <row r="78" spans="1:11" ht="61.5" customHeight="1">
      <c r="C78" s="196"/>
    </row>
    <row r="79" spans="1:11" ht="61.5" customHeight="1">
      <c r="C79" s="196"/>
    </row>
    <row r="80" spans="1:11" ht="61.5" customHeight="1">
      <c r="C80" s="196"/>
    </row>
    <row r="81" spans="3:3" ht="61.5" customHeight="1">
      <c r="C81" s="196"/>
    </row>
    <row r="82" spans="3:3" ht="61.5" customHeight="1">
      <c r="C82" s="196"/>
    </row>
    <row r="83" spans="3:3" ht="61.5" customHeight="1">
      <c r="C83" s="196"/>
    </row>
    <row r="84" spans="3:3" ht="61.5" customHeight="1">
      <c r="C84" s="196"/>
    </row>
    <row r="85" spans="3:3" ht="61.5" customHeight="1">
      <c r="C85" s="196"/>
    </row>
    <row r="86" spans="3:3" ht="61.5" customHeight="1">
      <c r="C86" s="196"/>
    </row>
    <row r="87" spans="3:3" ht="61.5" customHeight="1">
      <c r="C87" s="196"/>
    </row>
    <row r="88" spans="3:3" ht="61.5" customHeight="1">
      <c r="C88" s="196"/>
    </row>
    <row r="89" spans="3:3" ht="61.5" customHeight="1">
      <c r="C89" s="196"/>
    </row>
    <row r="90" spans="3:3" ht="61.5" customHeight="1">
      <c r="C90" s="196"/>
    </row>
    <row r="91" spans="3:3" ht="61.5" customHeight="1">
      <c r="C91" s="196"/>
    </row>
  </sheetData>
  <sheetProtection sheet="1" objects="1" scenarios="1"/>
  <customSheetViews>
    <customSheetView guid="{9FA5A1E5-0041-4CF2-96F3-E68C0E78B62E}" scale="80" showPageBreaks="1" printArea="1" hiddenRows="1" view="pageBreakPreview" topLeftCell="A7">
      <selection activeCell="I15" sqref="I15"/>
      <rowBreaks count="2" manualBreakCount="2">
        <brk id="19" max="4" man="1"/>
        <brk id="34" max="4" man="1"/>
      </rowBreaks>
      <pageMargins left="0.70866141732283472" right="0.70866141732283472" top="0.74803149606299213" bottom="0.74803149606299213" header="0.31496062992125984" footer="0.31496062992125984"/>
      <pageSetup paperSize="8" scale="95" orientation="landscape" r:id="rId1"/>
    </customSheetView>
    <customSheetView guid="{9105A0FE-F516-45E7-BB15-EE4CC4A8DCAA}" scale="80" showPageBreaks="1" printArea="1" hiddenRows="1" view="pageBreakPreview" topLeftCell="A7">
      <selection activeCell="I15" sqref="I15"/>
      <rowBreaks count="2" manualBreakCount="2">
        <brk id="19" max="4" man="1"/>
        <brk id="34" max="4" man="1"/>
      </rowBreaks>
      <pageMargins left="0.70866141732283472" right="0.70866141732283472" top="0.74803149606299213" bottom="0.74803149606299213" header="0.31496062992125984" footer="0.31496062992125984"/>
      <pageSetup paperSize="8" scale="95" orientation="landscape" r:id="rId2"/>
    </customSheetView>
    <customSheetView guid="{70876BBE-780D-4266-8AA2-8D4502B62343}" scale="80" showPageBreaks="1" printArea="1" hiddenRows="1" view="pageBreakPreview" topLeftCell="A7">
      <selection activeCell="I15" sqref="I15"/>
      <rowBreaks count="2" manualBreakCount="2">
        <brk id="19" max="4" man="1"/>
        <brk id="34" max="4" man="1"/>
      </rowBreaks>
      <pageMargins left="0.70866141732283472" right="0.70866141732283472" top="0.74803149606299213" bottom="0.74803149606299213" header="0.31496062992125984" footer="0.31496062992125984"/>
      <pageSetup paperSize="8" scale="95" orientation="landscape" r:id="rId3"/>
    </customSheetView>
  </customSheetViews>
  <mergeCells count="51">
    <mergeCell ref="B15:C15"/>
    <mergeCell ref="A4:C8"/>
    <mergeCell ref="B11:C11"/>
    <mergeCell ref="B12:C12"/>
    <mergeCell ref="B13:C13"/>
    <mergeCell ref="B14:C14"/>
    <mergeCell ref="E31:E34"/>
    <mergeCell ref="B32:C32"/>
    <mergeCell ref="B33:C33"/>
    <mergeCell ref="B16:C16"/>
    <mergeCell ref="B17:C17"/>
    <mergeCell ref="B29:C29"/>
    <mergeCell ref="B30:C30"/>
    <mergeCell ref="B34:C34"/>
    <mergeCell ref="E37:E40"/>
    <mergeCell ref="B38:C38"/>
    <mergeCell ref="B39:C39"/>
    <mergeCell ref="B40:C40"/>
    <mergeCell ref="B36:C36"/>
    <mergeCell ref="B42:C42"/>
    <mergeCell ref="B31:C31"/>
    <mergeCell ref="B37:C37"/>
    <mergeCell ref="D37:D40"/>
    <mergeCell ref="B43:C43"/>
    <mergeCell ref="D43:D46"/>
    <mergeCell ref="D31:D34"/>
    <mergeCell ref="B49:C49"/>
    <mergeCell ref="D49:D52"/>
    <mergeCell ref="E49:E52"/>
    <mergeCell ref="B50:C50"/>
    <mergeCell ref="B51:C51"/>
    <mergeCell ref="B52:C52"/>
    <mergeCell ref="E43:E46"/>
    <mergeCell ref="B44:C44"/>
    <mergeCell ref="B45:C45"/>
    <mergeCell ref="B46:C46"/>
    <mergeCell ref="B48:C48"/>
    <mergeCell ref="B54:C54"/>
    <mergeCell ref="B55:C55"/>
    <mergeCell ref="D55:D58"/>
    <mergeCell ref="E55:E58"/>
    <mergeCell ref="B56:C56"/>
    <mergeCell ref="B57:C57"/>
    <mergeCell ref="B58:C58"/>
    <mergeCell ref="B60:C60"/>
    <mergeCell ref="B61:C61"/>
    <mergeCell ref="D61:D64"/>
    <mergeCell ref="E61:E64"/>
    <mergeCell ref="B62:C62"/>
    <mergeCell ref="B63:C63"/>
    <mergeCell ref="B64:C64"/>
  </mergeCells>
  <phoneticPr fontId="0" type="noConversion"/>
  <dataValidations count="2">
    <dataValidation type="list" allowBlank="1" showInputMessage="1" showErrorMessage="1" sqref="D12:D17">
      <formula1>$G$12:$G$15</formula1>
    </dataValidation>
    <dataValidation type="list" allowBlank="1" showInputMessage="1" showErrorMessage="1" sqref="F65">
      <formula1>ValidYesNo</formula1>
    </dataValidation>
  </dataValidations>
  <pageMargins left="0.70866141732283472" right="0.70866141732283472" top="0.74803149606299213" bottom="0.74803149606299213" header="0.31496062992125984" footer="0.31496062992125984"/>
  <pageSetup paperSize="8" scale="95" orientation="landscape" r:id="rId4"/>
  <rowBreaks count="2" manualBreakCount="2">
    <brk id="19" max="4" man="1"/>
    <brk id="34"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K29"/>
  <sheetViews>
    <sheetView topLeftCell="A16" workbookViewId="0">
      <selection activeCell="B27" sqref="B27"/>
    </sheetView>
  </sheetViews>
  <sheetFormatPr defaultRowHeight="15"/>
  <cols>
    <col min="1" max="1" width="100.5703125" style="625" customWidth="1"/>
    <col min="2" max="2" width="13.42578125" style="625" customWidth="1"/>
    <col min="3" max="3" width="47.140625" style="625" bestFit="1" customWidth="1"/>
    <col min="4" max="16384" width="9.140625" style="625"/>
  </cols>
  <sheetData>
    <row r="1" spans="1:11" ht="32.25" customHeight="1">
      <c r="A1" s="662" t="s">
        <v>828</v>
      </c>
    </row>
    <row r="2" spans="1:11" ht="24.75" customHeight="1">
      <c r="A2" s="627" t="s">
        <v>829</v>
      </c>
    </row>
    <row r="3" spans="1:11" ht="42" customHeight="1" thickBot="1">
      <c r="A3" s="690" t="s">
        <v>494</v>
      </c>
      <c r="B3" s="691" t="s">
        <v>813</v>
      </c>
      <c r="C3" s="691" t="s">
        <v>165</v>
      </c>
    </row>
    <row r="4" spans="1:11" ht="24" customHeight="1" thickBot="1">
      <c r="A4" s="646" t="s">
        <v>835</v>
      </c>
      <c r="B4" s="628" t="s">
        <v>162</v>
      </c>
      <c r="C4" s="626" t="s">
        <v>826</v>
      </c>
    </row>
    <row r="5" spans="1:11" ht="36" customHeight="1" thickBot="1">
      <c r="A5" s="647" t="s">
        <v>836</v>
      </c>
      <c r="B5" s="628" t="s">
        <v>163</v>
      </c>
      <c r="C5" s="626" t="s">
        <v>826</v>
      </c>
    </row>
    <row r="6" spans="1:11" ht="24" customHeight="1" thickBot="1">
      <c r="A6" s="647" t="s">
        <v>837</v>
      </c>
      <c r="B6" s="628" t="s">
        <v>162</v>
      </c>
      <c r="C6" s="626" t="s">
        <v>826</v>
      </c>
    </row>
    <row r="7" spans="1:11" ht="24" customHeight="1" thickBot="1">
      <c r="A7" s="647" t="s">
        <v>838</v>
      </c>
      <c r="B7" s="628" t="s">
        <v>162</v>
      </c>
      <c r="C7" s="626" t="s">
        <v>826</v>
      </c>
    </row>
    <row r="8" spans="1:11" ht="24" customHeight="1" thickBot="1">
      <c r="A8" s="647" t="s">
        <v>839</v>
      </c>
      <c r="B8" s="628" t="s">
        <v>162</v>
      </c>
      <c r="C8" s="626" t="s">
        <v>826</v>
      </c>
    </row>
    <row r="9" spans="1:11" ht="54" customHeight="1" thickBot="1">
      <c r="A9" s="647" t="s">
        <v>840</v>
      </c>
      <c r="B9" s="628" t="s">
        <v>162</v>
      </c>
      <c r="C9" s="626" t="s">
        <v>826</v>
      </c>
    </row>
    <row r="10" spans="1:11" ht="24" customHeight="1" thickBot="1">
      <c r="A10" s="647" t="s">
        <v>841</v>
      </c>
      <c r="B10" s="628" t="s">
        <v>162</v>
      </c>
      <c r="C10" s="626" t="s">
        <v>826</v>
      </c>
    </row>
    <row r="11" spans="1:11" ht="24" customHeight="1">
      <c r="A11" s="647" t="s">
        <v>842</v>
      </c>
      <c r="B11" s="643" t="s">
        <v>162</v>
      </c>
      <c r="C11" s="626" t="s">
        <v>826</v>
      </c>
    </row>
    <row r="12" spans="1:11" customFormat="1" ht="24" customHeight="1">
      <c r="A12" s="625"/>
      <c r="B12" s="635"/>
      <c r="C12" s="636"/>
      <c r="D12" s="637"/>
      <c r="E12" s="638"/>
      <c r="F12" s="639"/>
      <c r="G12" s="640"/>
      <c r="H12" s="10"/>
      <c r="I12" s="641"/>
      <c r="J12" s="642"/>
      <c r="K12" s="625"/>
    </row>
    <row r="13" spans="1:11" ht="20.25">
      <c r="A13" s="644" t="s">
        <v>825</v>
      </c>
    </row>
    <row r="27" spans="2:2">
      <c r="B27" s="625" t="s">
        <v>162</v>
      </c>
    </row>
    <row r="28" spans="2:2">
      <c r="B28" s="625" t="s">
        <v>163</v>
      </c>
    </row>
    <row r="29" spans="2:2">
      <c r="B29" s="625" t="s">
        <v>815</v>
      </c>
    </row>
  </sheetData>
  <sheetProtection sheet="1" objects="1" scenarios="1"/>
  <customSheetViews>
    <customSheetView guid="{9FA5A1E5-0041-4CF2-96F3-E68C0E78B62E}" topLeftCell="A16">
      <selection activeCell="B27" sqref="B27"/>
      <pageMargins left="0.7" right="0.7" top="0.75" bottom="0.75" header="0.3" footer="0.3"/>
      <pageSetup orientation="portrait" verticalDpi="0" r:id="rId1"/>
    </customSheetView>
    <customSheetView guid="{9105A0FE-F516-45E7-BB15-EE4CC4A8DCAA}" topLeftCell="A16">
      <selection activeCell="A27" sqref="A27"/>
      <pageMargins left="0.7" right="0.7" top="0.75" bottom="0.75" header="0.3" footer="0.3"/>
      <pageSetup orientation="portrait" verticalDpi="0" r:id="rId2"/>
    </customSheetView>
    <customSheetView guid="{70876BBE-780D-4266-8AA2-8D4502B62343}" topLeftCell="A16">
      <selection activeCell="C22" sqref="C22"/>
      <pageMargins left="0.7" right="0.7" top="0.75" bottom="0.75" header="0.3" footer="0.3"/>
      <pageSetup orientation="portrait" verticalDpi="0" r:id="rId3"/>
    </customSheetView>
  </customSheetViews>
  <dataValidations disablePrompts="1" count="2">
    <dataValidation type="list" allowBlank="1" showInputMessage="1" showErrorMessage="1" sqref="B4:B11">
      <formula1>$B$27:$B$29</formula1>
    </dataValidation>
    <dataValidation type="list" allowBlank="1" showInputMessage="1" showErrorMessage="1" sqref="E12">
      <formula1>ValidYesNo</formula1>
    </dataValidation>
  </dataValidations>
  <pageMargins left="0.7" right="0.7" top="0.75" bottom="0.75" header="0.3" footer="0.3"/>
  <pageSetup orientation="portrait" verticalDpi="0" r:id="rId4"/>
</worksheet>
</file>

<file path=xl/worksheets/sheet4.xml><?xml version="1.0" encoding="utf-8"?>
<worksheet xmlns="http://schemas.openxmlformats.org/spreadsheetml/2006/main" xmlns:r="http://schemas.openxmlformats.org/officeDocument/2006/relationships">
  <dimension ref="A1:J33"/>
  <sheetViews>
    <sheetView workbookViewId="0">
      <selection activeCell="C4" sqref="C4"/>
    </sheetView>
  </sheetViews>
  <sheetFormatPr defaultRowHeight="12.75"/>
  <cols>
    <col min="1" max="1" width="75.5703125" customWidth="1"/>
    <col min="2" max="2" width="33.5703125" customWidth="1"/>
  </cols>
  <sheetData>
    <row r="1" spans="1:9" s="625" customFormat="1" ht="26.25" customHeight="1">
      <c r="A1" s="662" t="s">
        <v>830</v>
      </c>
      <c r="B1" s="662"/>
    </row>
    <row r="2" spans="1:9" s="625" customFormat="1" ht="24.75" customHeight="1">
      <c r="A2" s="664" t="s">
        <v>844</v>
      </c>
      <c r="B2" s="664"/>
    </row>
    <row r="3" spans="1:9" ht="21" customHeight="1">
      <c r="A3" s="757" t="s">
        <v>816</v>
      </c>
      <c r="B3" s="758"/>
      <c r="C3" s="667" t="s">
        <v>817</v>
      </c>
      <c r="D3" s="656"/>
      <c r="E3" s="178"/>
      <c r="F3" s="178"/>
      <c r="G3" s="178"/>
      <c r="H3" s="178"/>
      <c r="I3" s="178"/>
    </row>
    <row r="4" spans="1:9" ht="18" customHeight="1">
      <c r="A4" s="668" t="s">
        <v>845</v>
      </c>
      <c r="B4" s="685" t="s">
        <v>831</v>
      </c>
      <c r="C4" s="653"/>
      <c r="D4" s="663"/>
      <c r="E4" s="178"/>
      <c r="F4" s="178"/>
      <c r="G4" s="178"/>
      <c r="H4" s="178"/>
      <c r="I4" s="178"/>
    </row>
    <row r="5" spans="1:9" ht="18" customHeight="1">
      <c r="A5" s="670"/>
      <c r="B5" s="675" t="s">
        <v>832</v>
      </c>
      <c r="C5" s="654"/>
      <c r="D5" s="178"/>
      <c r="E5" s="178"/>
      <c r="F5" s="178"/>
      <c r="G5" s="178"/>
      <c r="H5" s="178"/>
      <c r="I5" s="178"/>
    </row>
    <row r="6" spans="1:9" ht="18" customHeight="1">
      <c r="A6" s="671"/>
      <c r="B6" s="675" t="s">
        <v>833</v>
      </c>
      <c r="C6" s="654"/>
      <c r="D6" s="178"/>
      <c r="E6" s="178"/>
      <c r="F6" s="178"/>
      <c r="G6" s="178"/>
      <c r="H6" s="178"/>
      <c r="I6" s="178"/>
    </row>
    <row r="7" spans="1:9" ht="24" customHeight="1">
      <c r="A7" s="684" t="s">
        <v>846</v>
      </c>
      <c r="B7" s="679" t="s">
        <v>850</v>
      </c>
      <c r="C7" s="653"/>
      <c r="D7" s="178"/>
      <c r="E7" s="178"/>
      <c r="F7" s="178"/>
      <c r="G7" s="178"/>
      <c r="H7" s="178"/>
      <c r="I7" s="178"/>
    </row>
    <row r="8" spans="1:9" ht="18" customHeight="1">
      <c r="A8" s="680"/>
      <c r="B8" s="674" t="s">
        <v>851</v>
      </c>
      <c r="C8" s="660"/>
      <c r="D8" s="178"/>
      <c r="E8" s="178"/>
      <c r="F8" s="178"/>
      <c r="G8" s="178"/>
      <c r="H8" s="178"/>
      <c r="I8" s="178"/>
    </row>
    <row r="9" spans="1:9" ht="18" customHeight="1">
      <c r="A9" s="681"/>
      <c r="B9" s="682" t="s">
        <v>852</v>
      </c>
      <c r="C9" s="655"/>
      <c r="D9" s="178"/>
      <c r="E9" s="178"/>
      <c r="F9" s="178"/>
      <c r="G9" s="178"/>
      <c r="H9" s="178"/>
      <c r="I9" s="178"/>
    </row>
    <row r="10" spans="1:9" ht="24" customHeight="1">
      <c r="A10" s="669" t="s">
        <v>847</v>
      </c>
      <c r="B10" s="672"/>
      <c r="C10" s="650" t="s">
        <v>815</v>
      </c>
      <c r="D10" s="656"/>
      <c r="E10" s="178"/>
      <c r="F10" s="178"/>
      <c r="G10" s="178"/>
      <c r="H10" s="178"/>
      <c r="I10" s="178"/>
    </row>
    <row r="11" spans="1:9" ht="24" customHeight="1">
      <c r="A11" s="673" t="s">
        <v>848</v>
      </c>
      <c r="B11" s="673"/>
      <c r="C11" s="651" t="s">
        <v>815</v>
      </c>
      <c r="D11" s="656"/>
      <c r="E11" s="178"/>
      <c r="F11" s="178"/>
      <c r="G11" s="178"/>
      <c r="H11" s="178"/>
      <c r="I11" s="178"/>
    </row>
    <row r="12" spans="1:9" ht="24" customHeight="1">
      <c r="A12" s="668" t="s">
        <v>849</v>
      </c>
      <c r="B12" s="676" t="s">
        <v>853</v>
      </c>
      <c r="C12" s="653">
        <f>SUM(C13:C14)</f>
        <v>0</v>
      </c>
      <c r="D12" s="178"/>
      <c r="E12" s="178"/>
      <c r="F12" s="178"/>
      <c r="G12" s="178"/>
      <c r="H12" s="178"/>
      <c r="I12" s="178"/>
    </row>
    <row r="13" spans="1:9" ht="18" customHeight="1">
      <c r="A13" s="677"/>
      <c r="B13" s="665" t="s">
        <v>854</v>
      </c>
      <c r="C13" s="654"/>
      <c r="D13" s="178"/>
      <c r="E13" s="178"/>
      <c r="F13" s="178"/>
      <c r="G13" s="178"/>
      <c r="H13" s="178"/>
      <c r="I13" s="178"/>
    </row>
    <row r="14" spans="1:9" ht="18" customHeight="1">
      <c r="A14" s="666"/>
      <c r="B14" s="665" t="s">
        <v>855</v>
      </c>
      <c r="C14" s="654"/>
      <c r="D14" s="178"/>
      <c r="E14" s="178"/>
      <c r="F14" s="178"/>
      <c r="G14" s="178"/>
      <c r="H14" s="178"/>
      <c r="I14" s="178"/>
    </row>
    <row r="15" spans="1:9" ht="18" customHeight="1">
      <c r="A15" s="678" t="s">
        <v>856</v>
      </c>
      <c r="B15" s="679" t="s">
        <v>159</v>
      </c>
      <c r="C15" s="657"/>
      <c r="D15" s="178"/>
      <c r="E15" s="178"/>
      <c r="F15" s="178"/>
      <c r="G15" s="178"/>
      <c r="H15" s="178"/>
      <c r="I15" s="178"/>
    </row>
    <row r="16" spans="1:9" ht="18" customHeight="1">
      <c r="A16" s="680"/>
      <c r="B16" s="674" t="s">
        <v>820</v>
      </c>
      <c r="C16" s="658"/>
      <c r="D16" s="178"/>
      <c r="E16" s="178"/>
      <c r="F16" s="178"/>
      <c r="G16" s="178"/>
      <c r="H16" s="178"/>
      <c r="I16" s="178"/>
    </row>
    <row r="17" spans="1:10" ht="18" customHeight="1">
      <c r="A17" s="680"/>
      <c r="B17" s="674" t="s">
        <v>821</v>
      </c>
      <c r="C17" s="658"/>
      <c r="D17" s="178"/>
      <c r="E17" s="178"/>
      <c r="F17" s="178"/>
      <c r="G17" s="178"/>
      <c r="H17" s="178"/>
      <c r="I17" s="178"/>
    </row>
    <row r="18" spans="1:10" ht="18" customHeight="1">
      <c r="A18" s="680"/>
      <c r="B18" s="674" t="s">
        <v>822</v>
      </c>
      <c r="C18" s="658"/>
      <c r="D18" s="178"/>
      <c r="E18" s="178"/>
      <c r="F18" s="178"/>
      <c r="G18" s="178"/>
      <c r="H18" s="178"/>
      <c r="I18" s="178"/>
    </row>
    <row r="19" spans="1:10" ht="18" customHeight="1">
      <c r="A19" s="680"/>
      <c r="B19" s="674" t="s">
        <v>823</v>
      </c>
      <c r="C19" s="658"/>
      <c r="D19" s="178"/>
      <c r="E19" s="178"/>
      <c r="F19" s="178"/>
      <c r="G19" s="178"/>
      <c r="H19" s="178"/>
      <c r="I19" s="178"/>
    </row>
    <row r="20" spans="1:10" ht="18" customHeight="1">
      <c r="A20" s="681"/>
      <c r="B20" s="682" t="s">
        <v>712</v>
      </c>
      <c r="C20" s="659"/>
      <c r="D20" s="661" t="s">
        <v>827</v>
      </c>
      <c r="E20" s="649"/>
      <c r="F20" s="649"/>
      <c r="G20" s="649"/>
      <c r="H20" s="649"/>
      <c r="I20" s="649"/>
    </row>
    <row r="21" spans="1:10" ht="24" customHeight="1">
      <c r="A21" s="672" t="s">
        <v>843</v>
      </c>
      <c r="B21" s="683"/>
      <c r="C21" s="652" t="s">
        <v>815</v>
      </c>
      <c r="D21" s="178"/>
      <c r="E21" s="178"/>
      <c r="F21" s="178"/>
      <c r="G21" s="178"/>
      <c r="H21" s="178"/>
      <c r="I21" s="178"/>
    </row>
    <row r="22" spans="1:10" ht="24" customHeight="1">
      <c r="A22" s="686" t="s">
        <v>824</v>
      </c>
      <c r="B22" s="687"/>
      <c r="C22" s="688" t="s">
        <v>834</v>
      </c>
      <c r="D22" s="649"/>
      <c r="E22" s="649"/>
      <c r="F22" s="649"/>
      <c r="G22" s="649"/>
      <c r="H22" s="649"/>
      <c r="I22" s="649"/>
      <c r="J22" s="689"/>
    </row>
    <row r="24" spans="1:10" ht="20.25">
      <c r="A24" s="644"/>
      <c r="B24" s="644"/>
    </row>
    <row r="25" spans="1:10" ht="20.25">
      <c r="A25" s="644"/>
      <c r="B25" s="644"/>
    </row>
    <row r="26" spans="1:10" ht="20.25">
      <c r="A26" s="644"/>
      <c r="B26" s="644"/>
    </row>
    <row r="27" spans="1:10" ht="20.25">
      <c r="A27" s="644"/>
      <c r="B27" s="644"/>
    </row>
    <row r="28" spans="1:10" ht="20.25">
      <c r="A28" s="644"/>
      <c r="B28" s="644"/>
    </row>
    <row r="31" spans="1:10">
      <c r="C31" t="s">
        <v>818</v>
      </c>
    </row>
    <row r="32" spans="1:10">
      <c r="C32" t="s">
        <v>819</v>
      </c>
    </row>
    <row r="33" spans="3:3">
      <c r="C33" t="s">
        <v>815</v>
      </c>
    </row>
  </sheetData>
  <sheetProtection sheet="1" objects="1" scenarios="1"/>
  <customSheetViews>
    <customSheetView guid="{9FA5A1E5-0041-4CF2-96F3-E68C0E78B62E}">
      <selection activeCell="C4" sqref="C4"/>
      <pageMargins left="0.7" right="0.7" top="0.75" bottom="0.75" header="0.3" footer="0.3"/>
      <pageSetup paperSize="9" orientation="portrait" horizontalDpi="4294967293" verticalDpi="4294967293" r:id="rId1"/>
    </customSheetView>
    <customSheetView guid="{9105A0FE-F516-45E7-BB15-EE4CC4A8DCAA}" topLeftCell="A4">
      <selection activeCell="F41" sqref="F41"/>
      <pageMargins left="0.7" right="0.7" top="0.75" bottom="0.75" header="0.3" footer="0.3"/>
      <pageSetup paperSize="9" orientation="portrait" horizontalDpi="4294967293" verticalDpi="4294967293" r:id="rId2"/>
    </customSheetView>
    <customSheetView guid="{70876BBE-780D-4266-8AA2-8D4502B62343}">
      <selection activeCell="C4" sqref="C4"/>
      <pageMargins left="0.7" right="0.7" top="0.75" bottom="0.75" header="0.3" footer="0.3"/>
      <pageSetup paperSize="9" orientation="portrait" horizontalDpi="4294967293" verticalDpi="4294967293" r:id="rId3"/>
    </customSheetView>
  </customSheetViews>
  <mergeCells count="1">
    <mergeCell ref="A3:B3"/>
  </mergeCells>
  <dataValidations count="1">
    <dataValidation type="list" allowBlank="1" showInputMessage="1" showErrorMessage="1" sqref="C21 C10:C11">
      <formula1>$C$31:$C$33</formula1>
    </dataValidation>
  </dataValidations>
  <pageMargins left="0.7" right="0.7" top="0.75" bottom="0.75" header="0.3" footer="0.3"/>
  <pageSetup paperSize="9" orientation="portrait" horizontalDpi="4294967293" verticalDpi="4294967293" r:id="rId4"/>
</worksheet>
</file>

<file path=xl/worksheets/sheet5.xml><?xml version="1.0" encoding="utf-8"?>
<worksheet xmlns="http://schemas.openxmlformats.org/spreadsheetml/2006/main" xmlns:r="http://schemas.openxmlformats.org/officeDocument/2006/relationships">
  <dimension ref="A1:I117"/>
  <sheetViews>
    <sheetView view="pageBreakPreview" topLeftCell="A73" zoomScale="145" zoomScaleSheetLayoutView="145" workbookViewId="0">
      <selection activeCell="E9" sqref="E9"/>
    </sheetView>
  </sheetViews>
  <sheetFormatPr defaultColWidth="9.140625" defaultRowHeight="15"/>
  <cols>
    <col min="1" max="1" width="7.42578125" style="145" customWidth="1"/>
    <col min="2" max="2" width="34.42578125" style="144" customWidth="1"/>
    <col min="3" max="3" width="90.42578125" style="143" hidden="1" customWidth="1"/>
    <col min="4" max="4" width="18" style="143" customWidth="1"/>
    <col min="5" max="5" width="15.140625" style="335" bestFit="1" customWidth="1"/>
    <col min="6" max="6" width="30.42578125" style="143" customWidth="1"/>
    <col min="7" max="7" width="4.42578125" style="144" hidden="1" customWidth="1"/>
    <col min="8" max="8" width="15.140625" style="143" customWidth="1"/>
    <col min="9" max="9" width="11.42578125" style="143" customWidth="1"/>
    <col min="10" max="16384" width="9.140625" style="143"/>
  </cols>
  <sheetData>
    <row r="1" spans="1:9" ht="60">
      <c r="A1" s="412" t="s">
        <v>402</v>
      </c>
      <c r="B1" s="165" t="s">
        <v>401</v>
      </c>
      <c r="C1" s="166" t="s">
        <v>400</v>
      </c>
      <c r="D1" s="166"/>
      <c r="E1" s="326" t="s">
        <v>399</v>
      </c>
      <c r="F1" s="484" t="s">
        <v>52</v>
      </c>
      <c r="G1" s="167" t="s">
        <v>76</v>
      </c>
    </row>
    <row r="2" spans="1:9" ht="60.75" customHeight="1">
      <c r="A2" s="168"/>
      <c r="B2" s="155"/>
      <c r="C2" s="156"/>
      <c r="D2" s="759" t="s">
        <v>770</v>
      </c>
      <c r="E2" s="759"/>
      <c r="F2" s="760"/>
      <c r="G2" s="158"/>
    </row>
    <row r="3" spans="1:9" ht="15.75">
      <c r="A3" s="234"/>
      <c r="B3" s="151" t="s">
        <v>109</v>
      </c>
      <c r="C3" s="169"/>
      <c r="D3" s="169"/>
      <c r="E3" s="328"/>
      <c r="F3" s="488"/>
      <c r="G3" s="170"/>
      <c r="H3" s="565"/>
      <c r="I3" s="565"/>
    </row>
    <row r="4" spans="1:9" ht="15" customHeight="1">
      <c r="A4" s="154"/>
      <c r="B4" s="155"/>
      <c r="C4" s="156"/>
      <c r="D4" s="218" t="s">
        <v>611</v>
      </c>
      <c r="E4" s="329" t="s">
        <v>610</v>
      </c>
      <c r="F4" s="171"/>
      <c r="G4" s="158"/>
      <c r="H4" s="565"/>
      <c r="I4" s="565"/>
    </row>
    <row r="5" spans="1:9" ht="15" customHeight="1">
      <c r="A5" s="235">
        <v>1</v>
      </c>
      <c r="B5" s="227" t="s">
        <v>398</v>
      </c>
      <c r="C5" s="222"/>
      <c r="D5" s="475">
        <f>'Calculated Factors'!E3*100/(Questionnaire!$F$80*'Calculated Factors'!$E$32)</f>
        <v>54.690743046907428</v>
      </c>
      <c r="E5" s="472">
        <f>'Calculated Factors'!F3*100/(SUM(Questionnaire!F80:I80)*'Calculated Factors'!$E$32)</f>
        <v>54.690743046907428</v>
      </c>
      <c r="F5" s="171" t="s">
        <v>345</v>
      </c>
      <c r="G5" s="158"/>
      <c r="H5" s="566"/>
      <c r="I5" s="567"/>
    </row>
    <row r="6" spans="1:9" ht="15" customHeight="1">
      <c r="A6" s="235">
        <v>2</v>
      </c>
      <c r="B6" s="227" t="s">
        <v>397</v>
      </c>
      <c r="C6" s="227"/>
      <c r="D6" s="475">
        <f>'Calculated Factors'!E3*100/('Calculated Factors'!E9*'Calculated Factors'!$E$32)</f>
        <v>18.425671470627314</v>
      </c>
      <c r="E6" s="472">
        <f>'Calculated Factors'!F3*100/('Calculated Factors'!F9*'Calculated Factors'!$E$32)</f>
        <v>18.425671470627314</v>
      </c>
      <c r="F6" s="171" t="s">
        <v>345</v>
      </c>
      <c r="G6" s="158"/>
      <c r="H6" s="566"/>
      <c r="I6" s="567"/>
    </row>
    <row r="7" spans="1:9" ht="15" customHeight="1">
      <c r="A7" s="235">
        <v>3</v>
      </c>
      <c r="B7" s="227" t="s">
        <v>396</v>
      </c>
      <c r="C7" s="227"/>
      <c r="D7" s="475">
        <f>('Calculated Factors'!E9*'Calculated Factors'!$E$32-'Calculated Factors'!E16)*100/('Calculated Factors'!E9*'Calculated Factors'!$E$32)</f>
        <v>99.80249218569719</v>
      </c>
      <c r="E7" s="472">
        <f>('Calculated Factors'!F9*'Calculated Factors'!$E$32-'Calculated Factors'!F16)*100/('Calculated Factors'!F9*'Calculated Factors'!$E$32)</f>
        <v>99.80249218569719</v>
      </c>
      <c r="F7" s="171" t="s">
        <v>345</v>
      </c>
      <c r="G7" s="158"/>
      <c r="H7" s="566"/>
      <c r="I7" s="567"/>
    </row>
    <row r="8" spans="1:9" ht="15" customHeight="1">
      <c r="A8" s="235">
        <v>4</v>
      </c>
      <c r="B8" s="227" t="s">
        <v>395</v>
      </c>
      <c r="C8" s="227"/>
      <c r="D8" s="475">
        <f>('Calculated Factors'!E4/1000)/('Calculated Factors'!E10)</f>
        <v>0.65156245170463323</v>
      </c>
      <c r="E8" s="472">
        <f>('Calculated Factors'!F4/1000)/('Calculated Factors'!F10)</f>
        <v>0.65156245170463323</v>
      </c>
      <c r="F8" s="171" t="s">
        <v>463</v>
      </c>
      <c r="G8" s="158"/>
      <c r="H8" s="566"/>
      <c r="I8" s="567"/>
    </row>
    <row r="9" spans="1:9" ht="15" customHeight="1">
      <c r="A9" s="235">
        <v>5</v>
      </c>
      <c r="B9" s="300" t="s">
        <v>619</v>
      </c>
      <c r="C9" s="227"/>
      <c r="D9" s="478">
        <f>'Calculated Factors'!E11/'Calculated Factors'!E12*1000</f>
        <v>3.2444785745636184</v>
      </c>
      <c r="E9" s="479">
        <f>'Calculated Factors'!F11/'Calculated Factors'!F12*1000</f>
        <v>3.2444785745636184</v>
      </c>
      <c r="F9" s="171" t="s">
        <v>464</v>
      </c>
      <c r="G9" s="158"/>
      <c r="H9" s="566"/>
      <c r="I9" s="567"/>
    </row>
    <row r="10" spans="1:9" ht="15" customHeight="1">
      <c r="A10" s="235">
        <v>5.0999999999999996</v>
      </c>
      <c r="B10" s="300" t="s">
        <v>620</v>
      </c>
      <c r="C10" s="227"/>
      <c r="D10" s="478" t="e">
        <f>'Calculated Factors'!E11/'Calculated Factors'!E13*1000</f>
        <v>#DIV/0!</v>
      </c>
      <c r="E10" s="479" t="e">
        <f>'Calculated Factors'!F11/'Calculated Factors'!F13*1000</f>
        <v>#DIV/0!</v>
      </c>
      <c r="F10" s="489" t="s">
        <v>10</v>
      </c>
      <c r="G10" s="158"/>
      <c r="H10" s="565"/>
      <c r="I10" s="565"/>
    </row>
    <row r="11" spans="1:9" ht="15" customHeight="1">
      <c r="A11" s="235">
        <v>6</v>
      </c>
      <c r="B11" s="227" t="s">
        <v>394</v>
      </c>
      <c r="C11" s="227"/>
      <c r="D11" s="480">
        <f>('Calculated Factors'!E11)*1000/('Calculated Factors'!F58)</f>
        <v>865.76271186440681</v>
      </c>
      <c r="E11" s="481">
        <f>('Calculated Factors'!F11)*1000/('Calculated Factors'!G58)</f>
        <v>865.76271186440681</v>
      </c>
      <c r="F11" s="569" t="s">
        <v>464</v>
      </c>
      <c r="G11" s="158"/>
      <c r="H11" s="566"/>
      <c r="I11" s="567"/>
    </row>
    <row r="12" spans="1:9" ht="15" customHeight="1">
      <c r="A12" s="235">
        <v>7</v>
      </c>
      <c r="B12" s="227" t="s">
        <v>393</v>
      </c>
      <c r="C12" s="227"/>
      <c r="D12" s="478">
        <f>(Questionnaire!F141+Questionnaire!F143+Questionnaire!F145+Questionnaire!F147)*100/('Calculated Factors'!E9*'Calculated Factors'!E32)</f>
        <v>0.19750781430279638</v>
      </c>
      <c r="E12" s="479">
        <f>(SUM(Questionnaire!F141:I141)+SUM(Questionnaire!F143:I143)+SUM(Questionnaire!F145:I145)+SUM(Questionnaire!F147:I147))*100/('Calculated Factors'!F9*'Calculated Factors'!E32)</f>
        <v>0.19750781430279638</v>
      </c>
      <c r="F12" s="171" t="s">
        <v>345</v>
      </c>
      <c r="G12" s="158" t="s">
        <v>392</v>
      </c>
      <c r="H12" s="566"/>
      <c r="I12" s="567"/>
    </row>
    <row r="13" spans="1:9" ht="15" customHeight="1">
      <c r="A13" s="235">
        <v>8</v>
      </c>
      <c r="B13" s="227" t="s">
        <v>391</v>
      </c>
      <c r="C13" s="227"/>
      <c r="D13" s="478">
        <f>(Questionnaire!F142+Questionnaire!F146)*100/('Calculated Factors'!E9*'Calculated Factors'!E32)</f>
        <v>0</v>
      </c>
      <c r="E13" s="479">
        <f>(SUM(Questionnaire!F142:I142)+SUM(Questionnaire!F146:I146))*100/('Calculated Factors'!F9*'Calculated Factors'!E32)</f>
        <v>0</v>
      </c>
      <c r="F13" s="171" t="s">
        <v>345</v>
      </c>
      <c r="G13" s="158"/>
      <c r="H13" s="566"/>
      <c r="I13" s="567"/>
    </row>
    <row r="14" spans="1:9" ht="15" customHeight="1">
      <c r="A14" s="235">
        <v>9</v>
      </c>
      <c r="B14" s="227" t="s">
        <v>390</v>
      </c>
      <c r="C14" s="227"/>
      <c r="D14" s="475"/>
      <c r="E14" s="405">
        <f>'Calculated Factors'!F25/'Calculated Factors'!F4</f>
        <v>241.26440934421254</v>
      </c>
      <c r="F14" s="569" t="s">
        <v>465</v>
      </c>
      <c r="G14" s="158"/>
      <c r="H14" s="566"/>
      <c r="I14" s="567"/>
    </row>
    <row r="15" spans="1:9" ht="15" customHeight="1">
      <c r="A15" s="235">
        <v>10</v>
      </c>
      <c r="B15" s="227" t="s">
        <v>389</v>
      </c>
      <c r="C15" s="227"/>
      <c r="D15" s="475">
        <f>SUM(Questionnaire!F151:I151)*100/('Calculated Factors'!E4)</f>
        <v>1.5225806451612902</v>
      </c>
      <c r="E15" s="472">
        <f>SUM(Questionnaire!F151:I151)*100/('Calculated Factors'!F4)</f>
        <v>1.5225806451612902</v>
      </c>
      <c r="F15" s="171" t="s">
        <v>345</v>
      </c>
      <c r="G15" s="158"/>
      <c r="H15" s="566"/>
      <c r="I15" s="567"/>
    </row>
    <row r="16" spans="1:9" ht="15" customHeight="1">
      <c r="A16" s="235">
        <v>11</v>
      </c>
      <c r="B16" s="227" t="s">
        <v>388</v>
      </c>
      <c r="C16" s="227"/>
      <c r="D16" s="475">
        <f>'Calculated Factors'!E20*100/'Calculated Factors'!E3</f>
        <v>3.0740037950664139</v>
      </c>
      <c r="E16" s="472">
        <f>'Calculated Factors'!F20*100/'Calculated Factors'!F3</f>
        <v>3.0740037950664139</v>
      </c>
      <c r="F16" s="171" t="s">
        <v>345</v>
      </c>
      <c r="G16" s="158"/>
      <c r="H16" s="566"/>
      <c r="I16" s="567"/>
    </row>
    <row r="17" spans="1:9" ht="15" customHeight="1">
      <c r="A17" s="235">
        <v>12</v>
      </c>
      <c r="B17" s="227" t="s">
        <v>387</v>
      </c>
      <c r="C17" s="227"/>
      <c r="D17" s="475">
        <f>(('Calculated Factors'!E5)*100)/'Calculated Factors'!E3</f>
        <v>0</v>
      </c>
      <c r="E17" s="482">
        <f>(('Calculated Factors'!F5)*100)/('Calculated Factors'!F3)</f>
        <v>0</v>
      </c>
      <c r="F17" s="171" t="s">
        <v>345</v>
      </c>
      <c r="G17" s="158"/>
      <c r="H17" s="566"/>
      <c r="I17" s="567"/>
    </row>
    <row r="18" spans="1:9" ht="15" customHeight="1">
      <c r="A18" s="235" t="s">
        <v>415</v>
      </c>
      <c r="B18" s="227" t="s">
        <v>386</v>
      </c>
      <c r="C18" s="227"/>
      <c r="D18" s="475">
        <f>Questionnaire!F111/'Calculated Factors'!$E$3*100</f>
        <v>96.925996204933583</v>
      </c>
      <c r="E18" s="472">
        <f>SUM(Questionnaire!F111:I111)/'Calculated Factors'!$F$3*100</f>
        <v>96.925996204933583</v>
      </c>
      <c r="F18" s="171" t="s">
        <v>345</v>
      </c>
      <c r="G18" s="158"/>
      <c r="H18" s="566"/>
      <c r="I18" s="567"/>
    </row>
    <row r="19" spans="1:9" ht="15" customHeight="1">
      <c r="A19" s="235" t="s">
        <v>416</v>
      </c>
      <c r="B19" s="227" t="s">
        <v>385</v>
      </c>
      <c r="C19" s="227"/>
      <c r="D19" s="475">
        <f>Questionnaire!F112/'Calculated Factors'!$E$3*100</f>
        <v>0</v>
      </c>
      <c r="E19" s="472">
        <f>SUM(Questionnaire!F112:I112)/'Calculated Factors'!$F$3*100</f>
        <v>0</v>
      </c>
      <c r="F19" s="171" t="s">
        <v>345</v>
      </c>
      <c r="G19" s="158"/>
      <c r="H19" s="566"/>
      <c r="I19" s="567"/>
    </row>
    <row r="20" spans="1:9" ht="15" customHeight="1">
      <c r="A20" s="235" t="s">
        <v>417</v>
      </c>
      <c r="B20" s="227" t="s">
        <v>384</v>
      </c>
      <c r="C20" s="227"/>
      <c r="D20" s="475">
        <f>Questionnaire!F113/'Calculated Factors'!$E$3*100</f>
        <v>0</v>
      </c>
      <c r="E20" s="472">
        <f>SUM(Questionnaire!F113:I113)/'Calculated Factors'!$F$3*100</f>
        <v>0</v>
      </c>
      <c r="F20" s="171" t="s">
        <v>345</v>
      </c>
      <c r="G20" s="158"/>
      <c r="H20" s="566"/>
      <c r="I20" s="567"/>
    </row>
    <row r="21" spans="1:9" ht="15" customHeight="1">
      <c r="A21" s="235" t="s">
        <v>418</v>
      </c>
      <c r="B21" s="227" t="s">
        <v>383</v>
      </c>
      <c r="C21" s="227"/>
      <c r="D21" s="475">
        <f>Questionnaire!F114/'Calculated Factors'!$E$3*100</f>
        <v>0</v>
      </c>
      <c r="E21" s="472">
        <f>SUM(Questionnaire!F114:I114)/'Calculated Factors'!$F$3*100</f>
        <v>0</v>
      </c>
      <c r="F21" s="171" t="s">
        <v>345</v>
      </c>
      <c r="G21" s="158"/>
      <c r="H21" s="566"/>
      <c r="I21" s="567"/>
    </row>
    <row r="22" spans="1:9" ht="15" customHeight="1">
      <c r="A22" s="235" t="s">
        <v>419</v>
      </c>
      <c r="B22" s="227" t="s">
        <v>382</v>
      </c>
      <c r="C22" s="227"/>
      <c r="D22" s="475">
        <f>Questionnaire!F115/'Calculated Factors'!$E$3*100</f>
        <v>0</v>
      </c>
      <c r="E22" s="472">
        <f>SUM(Questionnaire!F115:I115)/'Calculated Factors'!$F$3*100</f>
        <v>0</v>
      </c>
      <c r="F22" s="171" t="s">
        <v>345</v>
      </c>
      <c r="G22" s="171"/>
      <c r="H22" s="566"/>
      <c r="I22" s="567"/>
    </row>
    <row r="23" spans="1:9">
      <c r="A23" s="304">
        <v>14</v>
      </c>
      <c r="B23" s="227" t="s">
        <v>420</v>
      </c>
      <c r="C23" s="227"/>
      <c r="D23" s="473"/>
      <c r="E23" s="475" t="str">
        <f>Questionnaire!F153</f>
        <v>No</v>
      </c>
      <c r="F23" s="171"/>
      <c r="G23" s="171"/>
      <c r="H23" s="566"/>
      <c r="I23" s="565"/>
    </row>
    <row r="24" spans="1:9">
      <c r="A24" s="229"/>
      <c r="B24" s="222"/>
      <c r="C24" s="222"/>
      <c r="D24" s="222"/>
      <c r="E24" s="330"/>
      <c r="F24" s="171"/>
      <c r="G24" s="171"/>
      <c r="H24" s="565"/>
      <c r="I24" s="565"/>
    </row>
    <row r="25" spans="1:9">
      <c r="A25" s="229"/>
      <c r="B25" s="223"/>
      <c r="C25" s="222"/>
      <c r="D25" s="222"/>
      <c r="E25" s="330"/>
      <c r="F25" s="171"/>
      <c r="G25" s="158"/>
      <c r="H25" s="565"/>
      <c r="I25" s="565"/>
    </row>
    <row r="26" spans="1:9">
      <c r="A26" s="233"/>
      <c r="B26" s="159" t="s">
        <v>158</v>
      </c>
      <c r="C26" s="159"/>
      <c r="D26" s="159"/>
      <c r="E26" s="331"/>
      <c r="F26" s="488"/>
      <c r="G26" s="170"/>
      <c r="H26" s="565"/>
      <c r="I26" s="565"/>
    </row>
    <row r="27" spans="1:9">
      <c r="A27" s="229"/>
      <c r="B27" s="223"/>
      <c r="C27" s="222"/>
      <c r="D27" s="157"/>
      <c r="E27" s="332"/>
      <c r="F27" s="171"/>
      <c r="G27" s="158"/>
      <c r="H27" s="565"/>
      <c r="I27" s="565"/>
    </row>
    <row r="28" spans="1:9">
      <c r="A28" s="235">
        <v>15</v>
      </c>
      <c r="B28" s="227" t="s">
        <v>381</v>
      </c>
      <c r="C28" s="227"/>
      <c r="D28" s="472">
        <f>('Calculated Factors'!E6-Questionnaire!F170)*100/'Calculated Factors'!E6</f>
        <v>100</v>
      </c>
      <c r="E28" s="327"/>
      <c r="F28" s="171" t="s">
        <v>345</v>
      </c>
      <c r="G28" s="158"/>
      <c r="H28" s="565"/>
      <c r="I28" s="565"/>
    </row>
    <row r="29" spans="1:9">
      <c r="A29" s="235">
        <v>16</v>
      </c>
      <c r="B29" s="227" t="s">
        <v>380</v>
      </c>
      <c r="C29" s="227"/>
      <c r="D29" s="475" t="e">
        <f>(Questionnaire!F163/'Calculated Factors'!F60)*100</f>
        <v>#DIV/0!</v>
      </c>
      <c r="E29" s="327"/>
      <c r="F29" s="485" t="s">
        <v>644</v>
      </c>
      <c r="G29" s="158"/>
      <c r="H29" s="565"/>
      <c r="I29" s="565"/>
    </row>
    <row r="30" spans="1:9">
      <c r="A30" s="235">
        <v>17</v>
      </c>
      <c r="B30" s="227" t="s">
        <v>642</v>
      </c>
      <c r="C30" s="227"/>
      <c r="D30" s="475" t="e">
        <f>Questionnaire!F168/Questionnaire!F163</f>
        <v>#DIV/0!</v>
      </c>
      <c r="E30" s="327"/>
      <c r="F30" s="489" t="s">
        <v>3</v>
      </c>
      <c r="G30" s="158"/>
      <c r="H30" s="565"/>
      <c r="I30" s="565"/>
    </row>
    <row r="31" spans="1:9">
      <c r="A31" s="235">
        <v>17.100000000000001</v>
      </c>
      <c r="B31" s="227" t="s">
        <v>643</v>
      </c>
      <c r="C31" s="227"/>
      <c r="D31" s="475" t="e">
        <f>Questionnaire!F169/Questionnaire!F164</f>
        <v>#DIV/0!</v>
      </c>
      <c r="E31" s="327"/>
      <c r="F31" s="489"/>
      <c r="G31" s="158"/>
      <c r="H31" s="565"/>
      <c r="I31" s="565"/>
    </row>
    <row r="32" spans="1:9">
      <c r="A32" s="229"/>
      <c r="B32" s="222"/>
      <c r="C32" s="222"/>
      <c r="D32" s="222"/>
      <c r="E32" s="330"/>
      <c r="F32" s="171"/>
      <c r="G32" s="158"/>
      <c r="H32" s="565"/>
      <c r="I32" s="565"/>
    </row>
    <row r="33" spans="1:9">
      <c r="A33" s="229"/>
      <c r="B33" s="223"/>
      <c r="C33" s="222"/>
      <c r="D33" s="157"/>
      <c r="E33" s="332"/>
      <c r="F33" s="171"/>
      <c r="G33" s="158"/>
      <c r="H33" s="565"/>
      <c r="I33" s="565"/>
    </row>
    <row r="34" spans="1:9">
      <c r="A34" s="233"/>
      <c r="B34" s="159" t="s">
        <v>80</v>
      </c>
      <c r="C34" s="159"/>
      <c r="D34" s="159"/>
      <c r="E34" s="331"/>
      <c r="F34" s="488"/>
      <c r="G34" s="170"/>
      <c r="H34" s="565"/>
      <c r="I34" s="565"/>
    </row>
    <row r="35" spans="1:9">
      <c r="A35" s="229"/>
      <c r="B35" s="223"/>
      <c r="C35" s="222"/>
      <c r="D35" s="157"/>
      <c r="E35" s="332"/>
      <c r="F35" s="171"/>
      <c r="G35" s="158"/>
      <c r="H35" s="565"/>
      <c r="I35" s="565"/>
    </row>
    <row r="36" spans="1:9">
      <c r="A36" s="235">
        <v>18</v>
      </c>
      <c r="B36" s="227" t="s">
        <v>379</v>
      </c>
      <c r="C36" s="227"/>
      <c r="D36" s="472">
        <f>(('Calculated Factors'!E6-'Calculated Factors'!E22)*100)/'Calculated Factors'!E6</f>
        <v>12.115396473054634</v>
      </c>
      <c r="E36" s="472">
        <f>(('Calculated Factors'!F6-'Calculated Factors'!F22)*100)/'Calculated Factors'!F6</f>
        <v>12.115396473054634</v>
      </c>
      <c r="F36" s="490" t="s">
        <v>345</v>
      </c>
      <c r="G36" s="158"/>
      <c r="H36" s="568"/>
      <c r="I36" s="565"/>
    </row>
    <row r="37" spans="1:9">
      <c r="A37" s="235">
        <v>19</v>
      </c>
      <c r="B37" s="227" t="s">
        <v>378</v>
      </c>
      <c r="C37" s="227"/>
      <c r="D37" s="475">
        <f>IF(Questionnaire!F161="No",D36,(Questionnaire!F170-'Calculated Factors'!E6)*100/'Calculated Factors'!E6)</f>
        <v>12.115396473054634</v>
      </c>
      <c r="E37" s="476"/>
      <c r="F37" s="490" t="s">
        <v>345</v>
      </c>
      <c r="G37" s="158"/>
      <c r="H37" s="568"/>
      <c r="I37" s="565"/>
    </row>
    <row r="38" spans="1:9">
      <c r="A38" s="235">
        <v>20</v>
      </c>
      <c r="B38" s="227" t="s">
        <v>377</v>
      </c>
      <c r="C38" s="227"/>
      <c r="D38" s="477"/>
      <c r="E38" s="475">
        <f>'Calculated Factors'!F18/'Calculated Factors'!F17</f>
        <v>174.3</v>
      </c>
      <c r="F38" s="171" t="s">
        <v>466</v>
      </c>
      <c r="G38" s="158"/>
      <c r="H38" s="568"/>
      <c r="I38" s="565"/>
    </row>
    <row r="39" spans="1:9">
      <c r="A39" s="235">
        <v>21</v>
      </c>
      <c r="B39" s="227" t="s">
        <v>376</v>
      </c>
      <c r="C39" s="227"/>
      <c r="D39" s="472">
        <f>Questionnaire!F179*100/'Calculated Factors'!F62</f>
        <v>75.945367940118601</v>
      </c>
      <c r="E39" s="483"/>
      <c r="F39" s="171" t="s">
        <v>467</v>
      </c>
      <c r="G39" s="158"/>
      <c r="H39" s="568"/>
      <c r="I39" s="565"/>
    </row>
    <row r="40" spans="1:9">
      <c r="A40" s="235">
        <v>22</v>
      </c>
      <c r="B40" s="227" t="s">
        <v>375</v>
      </c>
      <c r="C40" s="227"/>
      <c r="D40" s="475">
        <f>('Calculated Factors'!E22*100)/(Questionnaire!F184*'Calculated Factors'!E32)</f>
        <v>5.2066210045662098</v>
      </c>
      <c r="E40" s="483"/>
      <c r="F40" s="171" t="s">
        <v>345</v>
      </c>
      <c r="G40" s="158"/>
      <c r="H40" s="568"/>
      <c r="I40" s="565"/>
    </row>
    <row r="41" spans="1:9">
      <c r="A41" s="235">
        <v>23</v>
      </c>
      <c r="B41" s="227" t="s">
        <v>89</v>
      </c>
      <c r="C41" s="227"/>
      <c r="D41" s="405">
        <f>'Calculated Factors'!F26/'Calculated Factors'!F62</f>
        <v>4831.3725551943326</v>
      </c>
      <c r="E41" s="327"/>
      <c r="F41" s="569" t="s">
        <v>468</v>
      </c>
      <c r="G41" s="158"/>
      <c r="H41" s="568"/>
      <c r="I41" s="565"/>
    </row>
    <row r="42" spans="1:9">
      <c r="A42" s="235">
        <v>24</v>
      </c>
      <c r="B42" s="300" t="s">
        <v>759</v>
      </c>
      <c r="C42" s="227"/>
      <c r="D42" s="478">
        <f>D43+D44</f>
        <v>1255.9627079747561</v>
      </c>
      <c r="E42" s="483"/>
      <c r="F42" s="554" t="s">
        <v>735</v>
      </c>
      <c r="G42" s="158"/>
      <c r="H42" s="568"/>
      <c r="I42" s="565"/>
    </row>
    <row r="43" spans="1:9">
      <c r="A43" s="337">
        <v>24.1</v>
      </c>
      <c r="B43" s="300" t="s">
        <v>733</v>
      </c>
      <c r="C43" s="227"/>
      <c r="D43" s="478">
        <f>(Questionnaire!F191)/'Calculated Factors'!E18</f>
        <v>1255.9627079747561</v>
      </c>
      <c r="E43" s="483"/>
      <c r="F43" s="554" t="s">
        <v>735</v>
      </c>
      <c r="G43" s="158"/>
      <c r="H43" s="565"/>
      <c r="I43" s="565"/>
    </row>
    <row r="44" spans="1:9">
      <c r="A44" s="337">
        <v>24.2</v>
      </c>
      <c r="B44" s="300" t="s">
        <v>732</v>
      </c>
      <c r="C44" s="227"/>
      <c r="D44" s="478">
        <f>(Questionnaire!F192)/'Calculated Factors'!E18</f>
        <v>0</v>
      </c>
      <c r="E44" s="483"/>
      <c r="F44" s="554" t="s">
        <v>735</v>
      </c>
      <c r="G44" s="158"/>
      <c r="H44" s="565"/>
      <c r="I44" s="565"/>
    </row>
    <row r="45" spans="1:9">
      <c r="A45" s="235">
        <v>25</v>
      </c>
      <c r="B45" s="227" t="s">
        <v>760</v>
      </c>
      <c r="C45" s="227"/>
      <c r="D45" s="478">
        <f>D46+D47</f>
        <v>18.492828456683878</v>
      </c>
      <c r="E45" s="483"/>
      <c r="F45" s="489" t="s">
        <v>734</v>
      </c>
      <c r="G45" s="158"/>
      <c r="H45" s="568"/>
      <c r="I45" s="565"/>
    </row>
    <row r="46" spans="1:9">
      <c r="A46" s="337">
        <v>25.1</v>
      </c>
      <c r="B46" s="300" t="s">
        <v>755</v>
      </c>
      <c r="C46" s="227"/>
      <c r="D46" s="478">
        <f>Questionnaire!F193/'Calculated Factors'!E18</f>
        <v>18.492828456683878</v>
      </c>
      <c r="E46" s="483"/>
      <c r="F46" s="489" t="s">
        <v>734</v>
      </c>
      <c r="G46" s="158"/>
      <c r="H46" s="565"/>
      <c r="I46" s="565"/>
    </row>
    <row r="47" spans="1:9">
      <c r="A47" s="337">
        <v>25.2</v>
      </c>
      <c r="B47" s="300" t="s">
        <v>756</v>
      </c>
      <c r="C47" s="227"/>
      <c r="D47" s="478">
        <f>Questionnaire!F194/'Calculated Factors'!E18</f>
        <v>0</v>
      </c>
      <c r="E47" s="483"/>
      <c r="F47" s="489" t="s">
        <v>734</v>
      </c>
      <c r="G47" s="158"/>
      <c r="H47" s="565"/>
      <c r="I47" s="565"/>
    </row>
    <row r="48" spans="1:9">
      <c r="A48" s="404">
        <v>25.3</v>
      </c>
      <c r="B48" s="300" t="s">
        <v>757</v>
      </c>
      <c r="C48" s="227"/>
      <c r="D48" s="478">
        <f>D49+D50</f>
        <v>1356.0200803212851</v>
      </c>
      <c r="E48" s="483"/>
      <c r="F48" s="571" t="s">
        <v>735</v>
      </c>
      <c r="G48" s="158"/>
      <c r="H48" s="565"/>
      <c r="I48" s="565"/>
    </row>
    <row r="49" spans="1:9">
      <c r="A49" s="404">
        <v>25.31</v>
      </c>
      <c r="B49" s="300" t="s">
        <v>727</v>
      </c>
      <c r="C49" s="227"/>
      <c r="D49" s="478">
        <f>(Questionnaire!F186)/'Calculated Factors'!E18</f>
        <v>1356.0200803212851</v>
      </c>
      <c r="E49" s="483"/>
      <c r="F49" s="572" t="s">
        <v>735</v>
      </c>
      <c r="G49" s="158"/>
      <c r="H49" s="565"/>
      <c r="I49" s="565"/>
    </row>
    <row r="50" spans="1:9">
      <c r="A50" s="404">
        <v>25.32</v>
      </c>
      <c r="B50" s="300" t="s">
        <v>726</v>
      </c>
      <c r="C50" s="227"/>
      <c r="D50" s="478">
        <f>(Questionnaire!F187)/'Calculated Factors'!E18</f>
        <v>0</v>
      </c>
      <c r="E50" s="483"/>
      <c r="F50" s="571" t="s">
        <v>735</v>
      </c>
      <c r="G50" s="158"/>
      <c r="H50" s="565"/>
      <c r="I50" s="565"/>
    </row>
    <row r="51" spans="1:9">
      <c r="A51" s="404">
        <v>25.33</v>
      </c>
      <c r="B51" s="300" t="s">
        <v>758</v>
      </c>
      <c r="C51" s="227"/>
      <c r="D51" s="555">
        <f>D52+D53</f>
        <v>4.9598393574297193</v>
      </c>
      <c r="E51" s="483"/>
      <c r="F51" s="571" t="s">
        <v>734</v>
      </c>
      <c r="G51" s="158"/>
      <c r="H51" s="565"/>
      <c r="I51" s="565"/>
    </row>
    <row r="52" spans="1:9">
      <c r="A52" s="404">
        <v>25.34</v>
      </c>
      <c r="B52" s="300" t="s">
        <v>729</v>
      </c>
      <c r="C52" s="227"/>
      <c r="D52" s="478">
        <f>Questionnaire!F188/'Calculated Factors'!E18</f>
        <v>4.9598393574297193</v>
      </c>
      <c r="E52" s="483"/>
      <c r="F52" s="571" t="s">
        <v>734</v>
      </c>
      <c r="G52" s="158"/>
      <c r="H52" s="565"/>
      <c r="I52" s="565"/>
    </row>
    <row r="53" spans="1:9">
      <c r="A53" s="404">
        <v>25.36</v>
      </c>
      <c r="B53" s="300" t="s">
        <v>728</v>
      </c>
      <c r="C53" s="227"/>
      <c r="D53" s="478">
        <f>Questionnaire!F189/'Calculated Factors'!E18</f>
        <v>0</v>
      </c>
      <c r="E53" s="483"/>
      <c r="F53" s="571" t="s">
        <v>734</v>
      </c>
      <c r="G53" s="158"/>
      <c r="H53" s="565"/>
      <c r="I53" s="565"/>
    </row>
    <row r="54" spans="1:9">
      <c r="A54" s="404">
        <v>25.41</v>
      </c>
      <c r="B54" s="402" t="s">
        <v>730</v>
      </c>
      <c r="C54" s="227"/>
      <c r="D54" s="478">
        <f>D42+D48</f>
        <v>2611.9827882960412</v>
      </c>
      <c r="E54" s="483"/>
      <c r="F54" s="489" t="s">
        <v>735</v>
      </c>
      <c r="G54" s="158"/>
      <c r="H54" s="565"/>
      <c r="I54" s="565"/>
    </row>
    <row r="55" spans="1:9">
      <c r="A55" s="404">
        <v>25.42</v>
      </c>
      <c r="B55" s="403" t="s">
        <v>731</v>
      </c>
      <c r="C55" s="227"/>
      <c r="D55" s="478">
        <f>D45+D51</f>
        <v>23.452667814113596</v>
      </c>
      <c r="E55" s="483"/>
      <c r="F55" s="489" t="s">
        <v>734</v>
      </c>
      <c r="G55" s="158"/>
      <c r="H55" s="565"/>
      <c r="I55" s="565"/>
    </row>
    <row r="56" spans="1:9">
      <c r="A56" s="229"/>
      <c r="B56" s="156"/>
      <c r="C56" s="222"/>
      <c r="D56" s="473"/>
      <c r="E56" s="483"/>
      <c r="F56" s="491"/>
      <c r="G56" s="158"/>
      <c r="H56" s="565"/>
      <c r="I56" s="565"/>
    </row>
    <row r="57" spans="1:9">
      <c r="A57" s="230"/>
      <c r="B57" s="163"/>
      <c r="C57" s="224"/>
      <c r="D57" s="224"/>
      <c r="E57" s="333"/>
      <c r="F57" s="487"/>
      <c r="G57" s="164"/>
      <c r="H57" s="565"/>
      <c r="I57" s="565"/>
    </row>
    <row r="58" spans="1:9" ht="60">
      <c r="A58" s="231" t="s">
        <v>402</v>
      </c>
      <c r="B58" s="225" t="s">
        <v>401</v>
      </c>
      <c r="C58" s="226"/>
      <c r="D58" s="226" t="s">
        <v>399</v>
      </c>
      <c r="E58" s="334" t="s">
        <v>399</v>
      </c>
      <c r="F58" s="492" t="s">
        <v>52</v>
      </c>
      <c r="G58" s="167" t="s">
        <v>76</v>
      </c>
      <c r="H58" s="565"/>
      <c r="I58" s="565"/>
    </row>
    <row r="59" spans="1:9">
      <c r="A59" s="232"/>
      <c r="B59" s="221"/>
      <c r="C59" s="222"/>
      <c r="D59" s="222"/>
      <c r="E59" s="330"/>
      <c r="F59" s="171"/>
      <c r="G59" s="158"/>
      <c r="H59" s="565"/>
      <c r="I59" s="565"/>
    </row>
    <row r="60" spans="1:9" ht="15.75">
      <c r="A60" s="233"/>
      <c r="B60" s="159" t="s">
        <v>374</v>
      </c>
      <c r="C60" s="159"/>
      <c r="D60" s="159"/>
      <c r="E60" s="331"/>
      <c r="F60" s="160"/>
      <c r="G60" s="160"/>
      <c r="H60" s="565"/>
      <c r="I60" s="565"/>
    </row>
    <row r="61" spans="1:9">
      <c r="A61" s="229"/>
      <c r="B61" s="221"/>
      <c r="C61" s="222"/>
      <c r="D61" s="157"/>
      <c r="E61" s="332"/>
      <c r="F61" s="171"/>
      <c r="G61" s="158"/>
      <c r="H61" s="565"/>
      <c r="I61" s="565"/>
    </row>
    <row r="62" spans="1:9">
      <c r="A62" s="235">
        <v>26</v>
      </c>
      <c r="B62" s="227" t="s">
        <v>373</v>
      </c>
      <c r="C62" s="227"/>
      <c r="D62" s="222"/>
      <c r="E62" s="472" t="str">
        <f>Questionnaire!F200</f>
        <v>Yes</v>
      </c>
      <c r="F62" s="171"/>
      <c r="G62" s="158"/>
      <c r="H62" s="568"/>
      <c r="I62" s="565"/>
    </row>
    <row r="63" spans="1:9">
      <c r="A63" s="235">
        <v>27</v>
      </c>
      <c r="B63" s="227" t="s">
        <v>372</v>
      </c>
      <c r="C63" s="227"/>
      <c r="D63" s="222"/>
      <c r="E63" s="472">
        <f>'Calculated Factors'!F39</f>
        <v>0</v>
      </c>
      <c r="F63" s="485" t="s">
        <v>605</v>
      </c>
      <c r="G63" s="158"/>
      <c r="H63" s="568"/>
      <c r="I63" s="565"/>
    </row>
    <row r="64" spans="1:9">
      <c r="A64" s="235">
        <v>28</v>
      </c>
      <c r="B64" s="227" t="s">
        <v>371</v>
      </c>
      <c r="C64" s="227"/>
      <c r="D64" s="222"/>
      <c r="E64" s="472">
        <f>Questionnaire!F216/'Calculated Factors'!E33</f>
        <v>0</v>
      </c>
      <c r="F64" s="485" t="s">
        <v>457</v>
      </c>
      <c r="G64" s="158"/>
      <c r="H64" s="568"/>
      <c r="I64" s="565"/>
    </row>
    <row r="65" spans="1:9">
      <c r="A65" s="235">
        <v>29</v>
      </c>
      <c r="B65" s="227" t="s">
        <v>370</v>
      </c>
      <c r="C65" s="227"/>
      <c r="D65" s="222"/>
      <c r="E65" s="472">
        <f>Questionnaire!F217</f>
        <v>0</v>
      </c>
      <c r="F65" s="171" t="s">
        <v>18</v>
      </c>
      <c r="G65" s="158"/>
      <c r="H65" s="568"/>
      <c r="I65" s="565"/>
    </row>
    <row r="66" spans="1:9">
      <c r="A66" s="235"/>
      <c r="B66" s="222"/>
      <c r="C66" s="222"/>
      <c r="D66" s="222"/>
      <c r="E66" s="473"/>
      <c r="F66" s="171"/>
      <c r="G66" s="158"/>
      <c r="H66" s="568"/>
      <c r="I66" s="565"/>
    </row>
    <row r="67" spans="1:9">
      <c r="A67" s="304">
        <v>30</v>
      </c>
      <c r="B67" s="227" t="s">
        <v>369</v>
      </c>
      <c r="C67" s="227"/>
      <c r="D67" s="222"/>
      <c r="E67" s="474" t="str">
        <f>Questionnaire!F219</f>
        <v>KUA</v>
      </c>
      <c r="F67" s="171"/>
      <c r="G67" s="158"/>
      <c r="H67" s="568"/>
      <c r="I67" s="565"/>
    </row>
    <row r="68" spans="1:9">
      <c r="A68" s="229"/>
      <c r="B68" s="222"/>
      <c r="C68" s="222"/>
      <c r="D68" s="222"/>
      <c r="E68" s="330"/>
      <c r="F68" s="171"/>
      <c r="G68" s="158"/>
      <c r="H68" s="565"/>
      <c r="I68" s="565"/>
    </row>
    <row r="69" spans="1:9">
      <c r="A69" s="229"/>
      <c r="B69" s="223"/>
      <c r="C69" s="222"/>
      <c r="D69" s="222"/>
      <c r="E69" s="330"/>
      <c r="F69" s="171"/>
      <c r="G69" s="158"/>
      <c r="H69" s="565"/>
      <c r="I69" s="565"/>
    </row>
    <row r="70" spans="1:9" ht="15.75">
      <c r="A70" s="233"/>
      <c r="B70" s="159" t="s">
        <v>141</v>
      </c>
      <c r="C70" s="159"/>
      <c r="D70" s="159"/>
      <c r="E70" s="331"/>
      <c r="F70" s="160"/>
      <c r="G70" s="160"/>
      <c r="H70" s="565"/>
      <c r="I70" s="565"/>
    </row>
    <row r="71" spans="1:9">
      <c r="A71" s="229"/>
      <c r="B71" s="221"/>
      <c r="C71" s="222"/>
      <c r="D71" s="157"/>
      <c r="E71" s="332"/>
      <c r="F71" s="171"/>
      <c r="G71" s="158"/>
      <c r="H71" s="565"/>
      <c r="I71" s="565"/>
    </row>
    <row r="72" spans="1:9">
      <c r="A72" s="235">
        <v>31</v>
      </c>
      <c r="B72" s="227" t="s">
        <v>368</v>
      </c>
      <c r="C72" s="227"/>
      <c r="D72" s="156"/>
      <c r="E72" s="472">
        <f>Questionnaire!F223/Questionnaire!F225</f>
        <v>0</v>
      </c>
      <c r="F72" s="171" t="s">
        <v>73</v>
      </c>
      <c r="G72" s="158"/>
      <c r="H72" s="568"/>
      <c r="I72" s="565"/>
    </row>
    <row r="73" spans="1:9" ht="17.25" customHeight="1">
      <c r="A73" s="235">
        <v>32</v>
      </c>
      <c r="B73" s="227" t="s">
        <v>367</v>
      </c>
      <c r="C73" s="227"/>
      <c r="D73" s="156"/>
      <c r="E73" s="472">
        <f>(Questionnaire!F224*1000000)/Questionnaire!F229</f>
        <v>0</v>
      </c>
      <c r="F73" s="485" t="s">
        <v>639</v>
      </c>
      <c r="G73" s="158"/>
      <c r="H73" s="568"/>
      <c r="I73" s="565"/>
    </row>
    <row r="74" spans="1:9">
      <c r="A74" s="235">
        <v>33</v>
      </c>
      <c r="B74" s="227" t="s">
        <v>366</v>
      </c>
      <c r="C74" s="227"/>
      <c r="D74" s="156"/>
      <c r="E74" s="472">
        <f>'Calculated Factors'!F18/'Calculated Factors'!F24</f>
        <v>58.381691662270448</v>
      </c>
      <c r="F74" s="570" t="s">
        <v>638</v>
      </c>
      <c r="G74" s="158"/>
      <c r="H74" s="568"/>
      <c r="I74" s="565"/>
    </row>
    <row r="75" spans="1:9">
      <c r="A75" s="229"/>
      <c r="B75" s="222"/>
      <c r="C75" s="222"/>
      <c r="D75" s="222"/>
      <c r="E75" s="330"/>
      <c r="F75" s="171"/>
      <c r="G75" s="158"/>
      <c r="H75" s="565"/>
      <c r="I75" s="565"/>
    </row>
    <row r="76" spans="1:9">
      <c r="A76" s="229"/>
      <c r="B76" s="221"/>
      <c r="C76" s="222"/>
      <c r="D76" s="222"/>
      <c r="E76" s="330"/>
      <c r="F76" s="171"/>
      <c r="G76" s="158"/>
      <c r="H76" s="565"/>
      <c r="I76" s="565"/>
    </row>
    <row r="77" spans="1:9" ht="15.75">
      <c r="A77" s="233"/>
      <c r="B77" s="159" t="s">
        <v>232</v>
      </c>
      <c r="C77" s="159"/>
      <c r="D77" s="159"/>
      <c r="E77" s="331"/>
      <c r="F77" s="160"/>
      <c r="G77" s="160"/>
      <c r="H77" s="565"/>
      <c r="I77" s="565"/>
    </row>
    <row r="78" spans="1:9">
      <c r="A78" s="229"/>
      <c r="B78" s="221"/>
      <c r="C78" s="222"/>
      <c r="D78" s="157"/>
      <c r="E78" s="332"/>
      <c r="F78" s="171"/>
      <c r="G78" s="158"/>
      <c r="H78" s="565"/>
      <c r="I78" s="565"/>
    </row>
    <row r="79" spans="1:9">
      <c r="A79" s="235">
        <v>34</v>
      </c>
      <c r="B79" s="227" t="s">
        <v>365</v>
      </c>
      <c r="C79" s="227"/>
      <c r="D79" s="473"/>
      <c r="E79" s="472">
        <f>Questionnaire!F246*100/Questionnaire!F247</f>
        <v>86.375</v>
      </c>
      <c r="F79" s="171" t="s">
        <v>345</v>
      </c>
      <c r="G79" s="158"/>
      <c r="H79" s="568"/>
      <c r="I79" s="565"/>
    </row>
    <row r="80" spans="1:9">
      <c r="A80" s="235">
        <v>35</v>
      </c>
      <c r="B80" s="227" t="s">
        <v>346</v>
      </c>
      <c r="C80" s="227"/>
      <c r="D80" s="577">
        <f>('Calculated Factors'!F23/'Calculated Factors'!E22)*100</f>
        <v>57.850471387853538</v>
      </c>
      <c r="E80" s="494">
        <f>('Calculated Factors'!F23/'Calculated Factors'!F22)*100</f>
        <v>57.850471387853538</v>
      </c>
      <c r="F80" s="171" t="s">
        <v>345</v>
      </c>
      <c r="G80" s="158"/>
      <c r="H80" s="568"/>
      <c r="I80" s="565"/>
    </row>
    <row r="81" spans="1:9">
      <c r="A81" s="235" t="s">
        <v>364</v>
      </c>
      <c r="B81" s="227" t="s">
        <v>11</v>
      </c>
      <c r="C81" s="227"/>
      <c r="D81" s="473"/>
      <c r="E81" s="472">
        <f>(Questionnaire!F253/'Calculated Factors'!$F$22)*100</f>
        <v>0</v>
      </c>
      <c r="F81" s="171" t="s">
        <v>345</v>
      </c>
      <c r="G81" s="158"/>
      <c r="H81" s="568"/>
      <c r="I81" s="565"/>
    </row>
    <row r="82" spans="1:9">
      <c r="A82" s="235" t="s">
        <v>363</v>
      </c>
      <c r="B82" s="227" t="s">
        <v>362</v>
      </c>
      <c r="C82" s="227"/>
      <c r="D82" s="473"/>
      <c r="E82" s="472">
        <f>(Questionnaire!F254/'Calculated Factors'!$F$22)*100</f>
        <v>40.475115106336332</v>
      </c>
      <c r="F82" s="171" t="s">
        <v>345</v>
      </c>
      <c r="G82" s="158"/>
      <c r="H82" s="568"/>
      <c r="I82" s="565"/>
    </row>
    <row r="83" spans="1:9">
      <c r="A83" s="235" t="s">
        <v>361</v>
      </c>
      <c r="B83" s="227" t="s">
        <v>360</v>
      </c>
      <c r="C83" s="227"/>
      <c r="D83" s="473"/>
      <c r="E83" s="472">
        <f>(Questionnaire!F255/'Calculated Factors'!$F$22)*100</f>
        <v>25.914930936198203</v>
      </c>
      <c r="F83" s="171" t="s">
        <v>345</v>
      </c>
      <c r="G83" s="158"/>
      <c r="H83" s="568"/>
      <c r="I83" s="565"/>
    </row>
    <row r="84" spans="1:9">
      <c r="A84" s="235" t="s">
        <v>359</v>
      </c>
      <c r="B84" s="227" t="s">
        <v>358</v>
      </c>
      <c r="C84" s="227"/>
      <c r="D84" s="473"/>
      <c r="E84" s="472">
        <f>(Questionnaire!F256/'Calculated Factors'!$F$22)*100</f>
        <v>5.8338083753562806</v>
      </c>
      <c r="F84" s="171" t="s">
        <v>345</v>
      </c>
      <c r="G84" s="158"/>
      <c r="H84" s="568"/>
      <c r="I84" s="565"/>
    </row>
    <row r="85" spans="1:9">
      <c r="A85" s="235" t="s">
        <v>357</v>
      </c>
      <c r="B85" s="227" t="s">
        <v>356</v>
      </c>
      <c r="C85" s="227"/>
      <c r="D85" s="473"/>
      <c r="E85" s="472">
        <f>(Questionnaire!F257/'Calculated Factors'!$F$22)*100</f>
        <v>26.101732076299054</v>
      </c>
      <c r="F85" s="171" t="s">
        <v>345</v>
      </c>
      <c r="G85" s="158"/>
      <c r="H85" s="568"/>
      <c r="I85" s="565"/>
    </row>
    <row r="86" spans="1:9">
      <c r="A86" s="235">
        <v>37</v>
      </c>
      <c r="B86" s="227" t="s">
        <v>355</v>
      </c>
      <c r="C86" s="227"/>
      <c r="D86" s="473"/>
      <c r="E86" s="472">
        <f>(Questionnaire!F258/'Calculated Factors'!$F$22)*100</f>
        <v>1.670445077833808</v>
      </c>
      <c r="F86" s="171" t="s">
        <v>345</v>
      </c>
      <c r="G86" s="158"/>
      <c r="H86" s="568"/>
      <c r="I86" s="565"/>
    </row>
    <row r="87" spans="1:9">
      <c r="A87" s="304">
        <v>38</v>
      </c>
      <c r="B87" s="227" t="s">
        <v>421</v>
      </c>
      <c r="C87" s="227"/>
      <c r="D87" s="473"/>
      <c r="E87" s="472" t="str">
        <f>Questionnaire!F260</f>
        <v>self regulated</v>
      </c>
      <c r="F87" s="171"/>
      <c r="G87" s="158"/>
      <c r="H87" s="568"/>
      <c r="I87" s="565"/>
    </row>
    <row r="88" spans="1:9">
      <c r="A88" s="229"/>
      <c r="B88" s="222"/>
      <c r="C88" s="222"/>
      <c r="D88" s="222"/>
      <c r="E88" s="330"/>
      <c r="F88" s="171"/>
      <c r="G88" s="158"/>
      <c r="H88" s="565"/>
      <c r="I88" s="565"/>
    </row>
    <row r="89" spans="1:9">
      <c r="A89" s="229"/>
      <c r="B89" s="221"/>
      <c r="C89" s="222"/>
      <c r="D89" s="222"/>
      <c r="E89" s="330"/>
      <c r="F89" s="486"/>
      <c r="G89" s="158"/>
      <c r="H89" s="565"/>
      <c r="I89" s="565"/>
    </row>
    <row r="90" spans="1:9" ht="15.75">
      <c r="A90" s="233"/>
      <c r="B90" s="159" t="s">
        <v>354</v>
      </c>
      <c r="C90" s="159"/>
      <c r="D90" s="159"/>
      <c r="E90" s="331"/>
      <c r="F90" s="160"/>
      <c r="G90" s="160"/>
      <c r="H90" s="565"/>
      <c r="I90" s="565"/>
    </row>
    <row r="91" spans="1:9">
      <c r="A91" s="229"/>
      <c r="B91" s="221"/>
      <c r="C91" s="222"/>
      <c r="D91" s="157"/>
      <c r="E91" s="332"/>
      <c r="F91" s="171"/>
      <c r="G91" s="158"/>
      <c r="H91" s="565"/>
      <c r="I91" s="565"/>
    </row>
    <row r="92" spans="1:9">
      <c r="A92" s="235">
        <v>39</v>
      </c>
      <c r="B92" s="227" t="s">
        <v>353</v>
      </c>
      <c r="C92" s="227"/>
      <c r="D92" s="156"/>
      <c r="E92" s="576">
        <f>((Questionnaire!F272)+SUM(Questionnaire!F268:F270))/(Questionnaire!F271)</f>
        <v>1.0445490876421202</v>
      </c>
      <c r="F92" s="171"/>
      <c r="G92" s="158"/>
      <c r="H92" s="568"/>
      <c r="I92" s="565"/>
    </row>
    <row r="93" spans="1:9">
      <c r="A93" s="235">
        <v>40</v>
      </c>
      <c r="B93" s="227" t="s">
        <v>352</v>
      </c>
      <c r="C93" s="227"/>
      <c r="D93" s="156"/>
      <c r="E93" s="472">
        <f>Questionnaire!F275/(Questionnaire!F276+Questionnaire!F275)</f>
        <v>0</v>
      </c>
      <c r="F93" s="171"/>
      <c r="G93" s="158"/>
      <c r="H93" s="568"/>
      <c r="I93" s="565"/>
    </row>
    <row r="94" spans="1:9">
      <c r="A94" s="235">
        <v>41</v>
      </c>
      <c r="B94" s="227" t="s">
        <v>351</v>
      </c>
      <c r="C94" s="227"/>
      <c r="D94" s="156"/>
      <c r="E94" s="472">
        <f>Questionnaire!F273/'Calculated Factors'!F19</f>
        <v>-3.5589062755478643E-2</v>
      </c>
      <c r="F94" s="171"/>
      <c r="G94" s="158"/>
      <c r="H94" s="568"/>
      <c r="I94" s="565"/>
    </row>
    <row r="95" spans="1:9">
      <c r="A95" s="235">
        <v>42</v>
      </c>
      <c r="B95" s="227" t="s">
        <v>350</v>
      </c>
      <c r="C95" s="227"/>
      <c r="D95" s="156"/>
      <c r="E95" s="472">
        <f>Questionnaire!F274/Questionnaire!F276</f>
        <v>-3.0497715189473581E-2</v>
      </c>
      <c r="F95" s="171"/>
      <c r="G95" s="158"/>
      <c r="H95" s="568"/>
      <c r="I95" s="565"/>
    </row>
    <row r="96" spans="1:9">
      <c r="A96" s="235">
        <v>43</v>
      </c>
      <c r="B96" s="227" t="s">
        <v>349</v>
      </c>
      <c r="C96" s="227"/>
      <c r="D96" s="156"/>
      <c r="E96" s="472">
        <f>(Questionnaire!F279/Questionnaire!F280)*100</f>
        <v>463.04186166752334</v>
      </c>
      <c r="F96" s="171"/>
      <c r="G96" s="158"/>
      <c r="H96" s="568"/>
      <c r="I96" s="565"/>
    </row>
    <row r="97" spans="1:9">
      <c r="A97" s="235">
        <v>44</v>
      </c>
      <c r="B97" s="227" t="s">
        <v>348</v>
      </c>
      <c r="C97" s="227"/>
      <c r="D97" s="156"/>
      <c r="E97" s="472">
        <f>Questionnaire!F281*365/Questionnaire!F271</f>
        <v>24.418465827366351</v>
      </c>
      <c r="F97" s="171" t="s">
        <v>73</v>
      </c>
      <c r="G97" s="158"/>
      <c r="H97" s="568"/>
      <c r="I97" s="565"/>
    </row>
    <row r="98" spans="1:9">
      <c r="A98" s="235">
        <v>45</v>
      </c>
      <c r="B98" s="227" t="s">
        <v>347</v>
      </c>
      <c r="C98" s="227"/>
      <c r="D98" s="469">
        <f>('Calculated Factors'!F40/Questionnaire!F238)/10</f>
        <v>50.674840596360454</v>
      </c>
      <c r="E98" s="470">
        <f>(('Calculated Factors'!F40)/SUM(Questionnaire!F238:I238))/10</f>
        <v>50.674840596360454</v>
      </c>
      <c r="F98" s="553" t="s">
        <v>469</v>
      </c>
      <c r="G98" s="158"/>
      <c r="H98" s="568"/>
      <c r="I98" s="565"/>
    </row>
    <row r="99" spans="1:9">
      <c r="A99" s="154"/>
      <c r="B99" s="493" t="s">
        <v>772</v>
      </c>
      <c r="C99" s="156"/>
      <c r="D99" s="156"/>
      <c r="E99" s="327"/>
      <c r="F99" s="171"/>
      <c r="G99" s="158"/>
      <c r="H99" s="565"/>
      <c r="I99" s="565"/>
    </row>
    <row r="100" spans="1:9">
      <c r="A100" s="337">
        <v>46.1</v>
      </c>
      <c r="B100" s="300" t="s">
        <v>773</v>
      </c>
      <c r="C100" s="227"/>
      <c r="D100" s="156"/>
      <c r="E100" s="494">
        <f>(Questionnaire!F292/'Calculated Factors'!$F$28)*100</f>
        <v>39.154410949623994</v>
      </c>
      <c r="F100" s="485" t="s">
        <v>345</v>
      </c>
      <c r="G100" s="158"/>
      <c r="H100" s="565"/>
      <c r="I100" s="565"/>
    </row>
    <row r="101" spans="1:9">
      <c r="A101" s="337">
        <v>46.2</v>
      </c>
      <c r="B101" s="300" t="s">
        <v>774</v>
      </c>
      <c r="C101" s="227"/>
      <c r="D101" s="156"/>
      <c r="E101" s="494">
        <f>(Questionnaire!F293/'Calculated Factors'!$F$28)*100</f>
        <v>0</v>
      </c>
      <c r="F101" s="485" t="s">
        <v>345</v>
      </c>
      <c r="G101" s="158"/>
      <c r="H101" s="565"/>
      <c r="I101" s="565"/>
    </row>
    <row r="102" spans="1:9">
      <c r="A102" s="337">
        <v>46.3</v>
      </c>
      <c r="B102" s="300" t="s">
        <v>775</v>
      </c>
      <c r="C102" s="227"/>
      <c r="D102" s="156"/>
      <c r="E102" s="494">
        <f>(Questionnaire!F294/'Calculated Factors'!$F$28)*100</f>
        <v>29.16436176342857</v>
      </c>
      <c r="F102" s="485" t="s">
        <v>345</v>
      </c>
      <c r="G102" s="158"/>
      <c r="H102" s="565"/>
      <c r="I102" s="565"/>
    </row>
    <row r="103" spans="1:9">
      <c r="A103" s="337">
        <v>46.4</v>
      </c>
      <c r="B103" s="300" t="s">
        <v>776</v>
      </c>
      <c r="C103" s="227"/>
      <c r="D103" s="156"/>
      <c r="E103" s="494">
        <f>(Questionnaire!F295/'Calculated Factors'!$F$28)*100</f>
        <v>3.0877287475706989</v>
      </c>
      <c r="F103" s="485" t="s">
        <v>345</v>
      </c>
      <c r="G103" s="158"/>
      <c r="H103" s="565"/>
      <c r="I103" s="565"/>
    </row>
    <row r="104" spans="1:9">
      <c r="A104" s="337">
        <v>46.5</v>
      </c>
      <c r="B104" s="300" t="s">
        <v>777</v>
      </c>
      <c r="C104" s="227"/>
      <c r="D104" s="156"/>
      <c r="E104" s="494">
        <f>(Questionnaire!F268/'Calculated Factors'!$F$28)*100</f>
        <v>3.7993848886861832</v>
      </c>
      <c r="F104" s="485" t="s">
        <v>345</v>
      </c>
      <c r="G104" s="158"/>
      <c r="H104" s="565"/>
      <c r="I104" s="565"/>
    </row>
    <row r="105" spans="1:9">
      <c r="A105" s="337">
        <v>46.6</v>
      </c>
      <c r="B105" s="300" t="s">
        <v>778</v>
      </c>
      <c r="C105" s="227"/>
      <c r="D105" s="156"/>
      <c r="E105" s="494">
        <f>(Questionnaire!F301/'Calculated Factors'!$F$28)*100</f>
        <v>6.9548990077724611</v>
      </c>
      <c r="F105" s="485" t="s">
        <v>345</v>
      </c>
      <c r="G105" s="158"/>
      <c r="H105" s="565"/>
      <c r="I105" s="565"/>
    </row>
    <row r="106" spans="1:9">
      <c r="A106" s="337">
        <v>46.7</v>
      </c>
      <c r="B106" s="300" t="s">
        <v>779</v>
      </c>
      <c r="C106" s="227"/>
      <c r="D106" s="156"/>
      <c r="E106" s="496">
        <f>(Questionnaire!F302/'Calculated Factors'!$F$28)*100</f>
        <v>1.9204598291992523</v>
      </c>
      <c r="F106" s="485" t="s">
        <v>345</v>
      </c>
      <c r="G106" s="158"/>
      <c r="H106" s="565"/>
      <c r="I106" s="565"/>
    </row>
    <row r="107" spans="1:9">
      <c r="A107" s="337">
        <v>46.8</v>
      </c>
      <c r="B107" s="300" t="s">
        <v>780</v>
      </c>
      <c r="C107" s="227"/>
      <c r="D107" s="156"/>
      <c r="E107" s="494">
        <f>(Questionnaire!F269/'Calculated Factors'!$F$28)*100</f>
        <v>5.226937013094604</v>
      </c>
      <c r="F107" s="485" t="s">
        <v>345</v>
      </c>
      <c r="G107" s="158"/>
      <c r="H107" s="565"/>
      <c r="I107" s="565"/>
    </row>
    <row r="108" spans="1:9">
      <c r="A108" s="337">
        <v>46.9</v>
      </c>
      <c r="B108" s="300" t="s">
        <v>781</v>
      </c>
      <c r="C108" s="227"/>
      <c r="D108" s="156"/>
      <c r="E108" s="494">
        <f>(Questionnaire!F307/'Calculated Factors'!$F$28)*100</f>
        <v>6.0337696113917021</v>
      </c>
      <c r="F108" s="485" t="s">
        <v>345</v>
      </c>
      <c r="G108" s="158"/>
      <c r="H108" s="565"/>
      <c r="I108" s="565"/>
    </row>
    <row r="109" spans="1:9">
      <c r="A109" s="404">
        <v>46.1</v>
      </c>
      <c r="B109" s="300" t="s">
        <v>477</v>
      </c>
      <c r="C109" s="227"/>
      <c r="D109" s="156"/>
      <c r="E109" s="494">
        <f>(Questionnaire!F270/'Calculated Factors'!$F$28)*100</f>
        <v>0.66423843249308512</v>
      </c>
      <c r="F109" s="485" t="s">
        <v>345</v>
      </c>
      <c r="G109" s="158"/>
      <c r="H109" s="565"/>
      <c r="I109" s="565"/>
    </row>
    <row r="110" spans="1:9">
      <c r="A110" s="404">
        <v>46.11</v>
      </c>
      <c r="B110" s="300" t="s">
        <v>782</v>
      </c>
      <c r="C110" s="227"/>
      <c r="D110" s="156"/>
      <c r="E110" s="494">
        <f>(Questionnaire!F308/'Calculated Factors'!$F$28)*100</f>
        <v>0</v>
      </c>
      <c r="F110" s="485" t="s">
        <v>345</v>
      </c>
      <c r="G110" s="158"/>
      <c r="H110" s="565"/>
      <c r="I110" s="565"/>
    </row>
    <row r="111" spans="1:9">
      <c r="A111" s="404">
        <v>46.12</v>
      </c>
      <c r="B111" s="300" t="s">
        <v>783</v>
      </c>
      <c r="C111" s="227"/>
      <c r="D111" s="156"/>
      <c r="E111" s="494">
        <f>(Questionnaire!F310/'Calculated Factors'!$F$28)*100</f>
        <v>3.9938097567394499</v>
      </c>
      <c r="F111" s="485" t="s">
        <v>345</v>
      </c>
      <c r="G111" s="158"/>
      <c r="H111" s="565"/>
      <c r="I111" s="565"/>
    </row>
    <row r="112" spans="1:9">
      <c r="A112" s="161"/>
      <c r="B112" s="162"/>
      <c r="C112" s="163"/>
      <c r="D112" s="163"/>
      <c r="E112" s="495">
        <f>SUM(E100:E111)</f>
        <v>99.999999999999972</v>
      </c>
      <c r="F112" s="487"/>
      <c r="G112" s="164"/>
      <c r="H112" s="565"/>
      <c r="I112" s="565"/>
    </row>
    <row r="113" spans="2:7">
      <c r="B113" s="146"/>
    </row>
    <row r="114" spans="2:7">
      <c r="B114" s="146"/>
    </row>
    <row r="115" spans="2:7">
      <c r="B115" s="146"/>
      <c r="G115" s="143"/>
    </row>
    <row r="117" spans="2:7">
      <c r="B117" s="146"/>
      <c r="E117" s="336"/>
      <c r="G117" s="143"/>
    </row>
  </sheetData>
  <sheetProtection sheet="1" objects="1" scenarios="1"/>
  <customSheetViews>
    <customSheetView guid="{9FA5A1E5-0041-4CF2-96F3-E68C0E78B62E}" scale="145" showPageBreaks="1" printArea="1" hiddenColumns="1" view="pageBreakPreview" topLeftCell="A73">
      <selection activeCell="E9" sqref="E9"/>
      <rowBreaks count="1" manualBreakCount="1">
        <brk id="57" max="8" man="1"/>
      </rowBreaks>
      <pageMargins left="0.9055118110236221" right="0.55118110236220474" top="0.74803149606299213" bottom="0.74803149606299213" header="0.31496062992125984" footer="0.31496062992125984"/>
      <pageSetup paperSize="8" orientation="portrait" r:id="rId1"/>
    </customSheetView>
    <customSheetView guid="{9105A0FE-F516-45E7-BB15-EE4CC4A8DCAA}" scale="145" showPageBreaks="1" printArea="1" hiddenColumns="1" view="pageBreakPreview" topLeftCell="A43">
      <selection activeCell="E16" sqref="E16"/>
      <rowBreaks count="1" manualBreakCount="1">
        <brk id="57" max="8" man="1"/>
      </rowBreaks>
      <pageMargins left="0.9055118110236221" right="0.55118110236220474" top="0.74803149606299213" bottom="0.74803149606299213" header="0.31496062992125984" footer="0.31496062992125984"/>
      <pageSetup paperSize="8" orientation="portrait" r:id="rId2"/>
    </customSheetView>
    <customSheetView guid="{70876BBE-780D-4266-8AA2-8D4502B62343}" scale="145" showPageBreaks="1" printArea="1" hiddenColumns="1" view="pageBreakPreview" topLeftCell="A73">
      <selection activeCell="E9" sqref="E9"/>
      <rowBreaks count="1" manualBreakCount="1">
        <brk id="57" max="8" man="1"/>
      </rowBreaks>
      <pageMargins left="0.9055118110236221" right="0.55118110236220474" top="0.74803149606299213" bottom="0.74803149606299213" header="0.31496062992125984" footer="0.31496062992125984"/>
      <pageSetup paperSize="8" orientation="portrait" r:id="rId3"/>
    </customSheetView>
  </customSheetViews>
  <mergeCells count="1">
    <mergeCell ref="D2:F2"/>
  </mergeCells>
  <phoneticPr fontId="0" type="noConversion"/>
  <pageMargins left="0.9055118110236221" right="0.55118110236220474" top="0.74803149606299213" bottom="0.74803149606299213" header="0.31496062992125984" footer="0.31496062992125984"/>
  <pageSetup paperSize="8" orientation="portrait" r:id="rId4"/>
  <rowBreaks count="1" manualBreakCount="1">
    <brk id="57" max="8" man="1"/>
  </rowBreaks>
  <legacyDrawing r:id="rId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I62"/>
  <sheetViews>
    <sheetView view="pageBreakPreview" topLeftCell="C1" zoomScaleSheetLayoutView="100" workbookViewId="0">
      <selection activeCell="F21" sqref="F21"/>
    </sheetView>
  </sheetViews>
  <sheetFormatPr defaultColWidth="9.140625" defaultRowHeight="15"/>
  <cols>
    <col min="1" max="1" width="9.7109375" style="145" customWidth="1"/>
    <col min="2" max="2" width="55.7109375" style="143" customWidth="1"/>
    <col min="3" max="3" width="93.28515625" style="143" customWidth="1"/>
    <col min="4" max="4" width="14.42578125" style="143" hidden="1" customWidth="1"/>
    <col min="5" max="5" width="16.42578125" style="143" customWidth="1"/>
    <col min="6" max="6" width="16.7109375" style="341" customWidth="1"/>
    <col min="7" max="7" width="13.28515625" style="341" customWidth="1"/>
    <col min="8" max="8" width="15.42578125" style="143" customWidth="1"/>
    <col min="9" max="9" width="31.7109375" style="143" customWidth="1"/>
    <col min="10" max="16384" width="9.140625" style="143"/>
  </cols>
  <sheetData>
    <row r="1" spans="1:9" ht="26.25">
      <c r="A1" s="416" t="s">
        <v>456</v>
      </c>
      <c r="B1" s="147" t="s">
        <v>414</v>
      </c>
      <c r="C1" s="147" t="s">
        <v>413</v>
      </c>
      <c r="E1" s="147"/>
      <c r="F1" s="339" t="s">
        <v>399</v>
      </c>
      <c r="G1" s="339" t="s">
        <v>15</v>
      </c>
      <c r="H1" s="147"/>
      <c r="I1" s="147" t="s">
        <v>76</v>
      </c>
    </row>
    <row r="2" spans="1:9">
      <c r="E2" s="245" t="s">
        <v>612</v>
      </c>
      <c r="F2" s="340" t="s">
        <v>610</v>
      </c>
      <c r="H2" s="245"/>
    </row>
    <row r="3" spans="1:9">
      <c r="A3" s="145" t="s">
        <v>428</v>
      </c>
      <c r="B3" s="149" t="s">
        <v>412</v>
      </c>
      <c r="C3" s="143" t="s">
        <v>422</v>
      </c>
      <c r="E3" s="220">
        <f>E4+E5</f>
        <v>5270</v>
      </c>
      <c r="F3" s="342">
        <f>F4+F5</f>
        <v>5270</v>
      </c>
      <c r="G3" s="341" t="s">
        <v>18</v>
      </c>
      <c r="H3" s="245"/>
    </row>
    <row r="4" spans="1:9">
      <c r="A4" s="467"/>
      <c r="B4" s="466" t="s">
        <v>84</v>
      </c>
      <c r="C4" s="245" t="s">
        <v>84</v>
      </c>
      <c r="E4" s="220">
        <f>(Questionnaire!F78)</f>
        <v>5270</v>
      </c>
      <c r="F4" s="342">
        <f>SUM(Questionnaire!F78:I78)</f>
        <v>5270</v>
      </c>
      <c r="H4" s="245"/>
    </row>
    <row r="5" spans="1:9">
      <c r="A5" s="467"/>
      <c r="B5" s="466" t="s">
        <v>110</v>
      </c>
      <c r="C5" s="245" t="s">
        <v>110</v>
      </c>
      <c r="E5" s="220">
        <f>(Questionnaire!F79)</f>
        <v>0</v>
      </c>
      <c r="F5" s="342">
        <f>SUM(Questionnaire!F79:I79)</f>
        <v>0</v>
      </c>
      <c r="H5" s="245"/>
    </row>
    <row r="6" spans="1:9">
      <c r="A6" s="467" t="s">
        <v>429</v>
      </c>
      <c r="B6" s="149" t="s">
        <v>410</v>
      </c>
      <c r="C6" s="143" t="s">
        <v>411</v>
      </c>
      <c r="E6" s="220">
        <f>E3-Questionnaire!F151</f>
        <v>5189.76</v>
      </c>
      <c r="F6" s="342">
        <f>F3-SUM(Questionnaire!F151:I151)</f>
        <v>5189.76</v>
      </c>
      <c r="G6" s="341" t="s">
        <v>18</v>
      </c>
      <c r="H6" s="245"/>
    </row>
    <row r="7" spans="1:9">
      <c r="A7" s="467" t="s">
        <v>430</v>
      </c>
      <c r="B7" s="465" t="s">
        <v>423</v>
      </c>
      <c r="C7" s="143" t="s">
        <v>424</v>
      </c>
      <c r="E7" s="220">
        <f>E9*$E$32</f>
        <v>28601.399999999998</v>
      </c>
      <c r="F7" s="342">
        <f>F9*$E$32</f>
        <v>28601.399999999998</v>
      </c>
      <c r="G7" s="341" t="s">
        <v>18</v>
      </c>
      <c r="H7" s="245"/>
    </row>
    <row r="8" spans="1:9">
      <c r="A8" s="467" t="s">
        <v>431</v>
      </c>
      <c r="B8" s="149" t="s">
        <v>425</v>
      </c>
      <c r="C8" s="143" t="s">
        <v>111</v>
      </c>
      <c r="E8" s="220">
        <f>Questionnaire!F82</f>
        <v>0</v>
      </c>
      <c r="F8" s="342">
        <f>SUM(Questionnaire!F82:I82)</f>
        <v>0</v>
      </c>
      <c r="G8" s="341" t="s">
        <v>18</v>
      </c>
      <c r="H8" s="245"/>
    </row>
    <row r="9" spans="1:9">
      <c r="A9" s="467" t="s">
        <v>432</v>
      </c>
      <c r="B9" s="149" t="s">
        <v>427</v>
      </c>
      <c r="C9" s="143" t="s">
        <v>426</v>
      </c>
      <c r="E9" s="220">
        <f>SUM(Questionnaire!F84:F108)+E8</f>
        <v>3.2649999999999997</v>
      </c>
      <c r="F9" s="342">
        <f>SUM(Questionnaire!F84:F108)+SUM(Questionnaire!G84:G108)+SUM(Questionnaire!H84:H108)+SUM(Questionnaire!I84:I108)+F8</f>
        <v>3.2649999999999997</v>
      </c>
      <c r="G9" s="341" t="s">
        <v>16</v>
      </c>
      <c r="H9" s="245"/>
    </row>
    <row r="10" spans="1:9">
      <c r="A10" s="467" t="s">
        <v>433</v>
      </c>
      <c r="B10" s="149" t="s">
        <v>434</v>
      </c>
      <c r="C10" s="143" t="s">
        <v>435</v>
      </c>
      <c r="E10" s="220">
        <f>Questionnaire!F231/$E$33</f>
        <v>8.0882500000000004</v>
      </c>
      <c r="F10" s="342">
        <f>SUM(Questionnaire!F231:I231)/$E$33</f>
        <v>8.0882500000000004</v>
      </c>
      <c r="G10" s="341" t="s">
        <v>457</v>
      </c>
      <c r="H10" s="245"/>
    </row>
    <row r="11" spans="1:9">
      <c r="A11" s="467" t="s">
        <v>28</v>
      </c>
      <c r="B11" s="149" t="s">
        <v>409</v>
      </c>
      <c r="C11" s="245" t="s">
        <v>589</v>
      </c>
      <c r="E11" s="575">
        <f>SUM(Questionnaire!F111:F114)</f>
        <v>5108</v>
      </c>
      <c r="F11" s="574">
        <f>SUM(Questionnaire!F111:F114)+SUM(Questionnaire!G111:G114)+SUM(Questionnaire!H111:H114)+SUM(Questionnaire!I111:I114)</f>
        <v>5108</v>
      </c>
      <c r="G11" s="341" t="s">
        <v>18</v>
      </c>
      <c r="H11" s="245"/>
    </row>
    <row r="12" spans="1:9">
      <c r="A12" s="467" t="s">
        <v>436</v>
      </c>
      <c r="B12" s="247" t="s">
        <v>613</v>
      </c>
      <c r="C12" s="245" t="s">
        <v>615</v>
      </c>
      <c r="E12" s="220">
        <f>SUM('Calculated Factors'!F45:F49)</f>
        <v>1574367</v>
      </c>
      <c r="F12" s="342">
        <f>SUM('Calculated Factors'!G45:G49)</f>
        <v>1574367</v>
      </c>
      <c r="G12" s="413" t="s">
        <v>83</v>
      </c>
      <c r="H12" s="245"/>
    </row>
    <row r="13" spans="1:9">
      <c r="A13" s="467"/>
      <c r="B13" s="247" t="s">
        <v>614</v>
      </c>
      <c r="C13" s="245" t="s">
        <v>616</v>
      </c>
      <c r="E13" s="220">
        <f>SUM('Calculated Factors'!F52:F56)</f>
        <v>0</v>
      </c>
      <c r="F13" s="342">
        <f>SUM('Calculated Factors'!G52:G56)</f>
        <v>0</v>
      </c>
      <c r="G13" s="414" t="s">
        <v>65</v>
      </c>
      <c r="H13" s="245"/>
    </row>
    <row r="14" spans="1:9">
      <c r="A14" s="467" t="s">
        <v>437</v>
      </c>
      <c r="B14" s="149" t="s">
        <v>444</v>
      </c>
      <c r="C14" s="143" t="s">
        <v>442</v>
      </c>
      <c r="E14" s="220">
        <f>SUM(Questionnaire!F141:F143)</f>
        <v>56.49</v>
      </c>
      <c r="F14" s="342">
        <f>SUM(Questionnaire!F141:F143) + SUM(Questionnaire!G141:G143)+ SUM(Questionnaire!H141:H143) + SUM( Questionnaire!I141:I143)</f>
        <v>56.49</v>
      </c>
      <c r="G14" s="341" t="s">
        <v>18</v>
      </c>
      <c r="H14" s="245"/>
    </row>
    <row r="15" spans="1:9">
      <c r="A15" s="467" t="s">
        <v>26</v>
      </c>
      <c r="B15" s="149" t="s">
        <v>445</v>
      </c>
      <c r="C15" s="143" t="s">
        <v>443</v>
      </c>
      <c r="E15" s="220">
        <f>SUM(Questionnaire!F145:F147)</f>
        <v>0</v>
      </c>
      <c r="F15" s="342">
        <f>SUM(Questionnaire!F145:F147) + SUM(Questionnaire!G145:G147) + SUM(Questionnaire!H145:H147) + SUM(Questionnaire!I145:I147)</f>
        <v>0</v>
      </c>
      <c r="G15" s="341" t="s">
        <v>18</v>
      </c>
      <c r="H15" s="245"/>
    </row>
    <row r="16" spans="1:9">
      <c r="A16" s="467" t="s">
        <v>438</v>
      </c>
      <c r="B16" s="149" t="s">
        <v>447</v>
      </c>
      <c r="C16" s="143" t="s">
        <v>446</v>
      </c>
      <c r="E16" s="220">
        <f>E14+E15</f>
        <v>56.49</v>
      </c>
      <c r="F16" s="342">
        <f>F14+F15</f>
        <v>56.49</v>
      </c>
      <c r="G16" s="341" t="s">
        <v>18</v>
      </c>
      <c r="H16" s="245"/>
    </row>
    <row r="17" spans="1:8">
      <c r="A17" s="467" t="s">
        <v>83</v>
      </c>
      <c r="B17" s="149" t="s">
        <v>448</v>
      </c>
      <c r="C17" s="143" t="s">
        <v>449</v>
      </c>
      <c r="F17" s="342">
        <f>(Questionnaire!G226+Questionnaire!G227)/2</f>
        <v>10</v>
      </c>
      <c r="G17" s="341" t="s">
        <v>94</v>
      </c>
      <c r="H17" s="245"/>
    </row>
    <row r="18" spans="1:8">
      <c r="A18" s="467" t="s">
        <v>27</v>
      </c>
      <c r="B18" s="149" t="s">
        <v>408</v>
      </c>
      <c r="C18" s="143" t="s">
        <v>452</v>
      </c>
      <c r="E18" s="342">
        <f>(Questionnaire!G240+Questionnaire!G241)/2</f>
        <v>1743</v>
      </c>
      <c r="F18" s="342">
        <f>(Questionnaire!G243+Questionnaire!G244)/2</f>
        <v>1743</v>
      </c>
      <c r="G18" s="341" t="s">
        <v>105</v>
      </c>
      <c r="H18" s="245"/>
    </row>
    <row r="19" spans="1:8">
      <c r="A19" s="467" t="s">
        <v>439</v>
      </c>
      <c r="B19" s="149" t="s">
        <v>450</v>
      </c>
      <c r="C19" s="143" t="s">
        <v>451</v>
      </c>
      <c r="F19" s="415">
        <f>(Questionnaire!F277+Questionnaire!F278)/2</f>
        <v>3111286.2050000001</v>
      </c>
      <c r="G19" s="343" t="str">
        <f>Questionnaire!B54</f>
        <v>Currency Used by Utility to Report Costs:</v>
      </c>
      <c r="H19" s="245"/>
    </row>
    <row r="20" spans="1:8">
      <c r="A20" s="467" t="s">
        <v>440</v>
      </c>
      <c r="B20" s="466" t="s">
        <v>453</v>
      </c>
      <c r="C20" s="143" t="s">
        <v>455</v>
      </c>
      <c r="E20" s="172">
        <f>SUM(Questionnaire!F116:F121)+Questionnaire!F113</f>
        <v>162</v>
      </c>
      <c r="F20" s="342">
        <f>SUM(Questionnaire!F116:F121)+SUM(Questionnaire!G116:G121)+SUM(Questionnaire!H116:H121)+SUM(Questionnaire!I116:I121)+SUM(Questionnaire!F113:I113)</f>
        <v>162</v>
      </c>
      <c r="G20" s="341" t="s">
        <v>18</v>
      </c>
      <c r="H20" s="245"/>
    </row>
    <row r="21" spans="1:8">
      <c r="A21" s="468" t="s">
        <v>441</v>
      </c>
      <c r="B21" s="149" t="s">
        <v>454</v>
      </c>
      <c r="C21" s="143" t="s">
        <v>458</v>
      </c>
      <c r="E21" s="301"/>
      <c r="F21" s="342">
        <f>SUM(Questionnaire!F253:F257)</f>
        <v>4484.63</v>
      </c>
      <c r="G21" s="341" t="s">
        <v>18</v>
      </c>
      <c r="H21" s="245"/>
    </row>
    <row r="22" spans="1:8">
      <c r="A22" s="468"/>
      <c r="B22" s="247" t="s">
        <v>631</v>
      </c>
      <c r="C22" s="245" t="s">
        <v>631</v>
      </c>
      <c r="E22" s="173">
        <f>Questionnaire!F238</f>
        <v>4561</v>
      </c>
      <c r="F22" s="342">
        <f>SUM(Questionnaire!F238:I238)</f>
        <v>4561</v>
      </c>
      <c r="G22" s="340" t="s">
        <v>18</v>
      </c>
      <c r="H22" s="245"/>
    </row>
    <row r="23" spans="1:8">
      <c r="A23" s="468"/>
      <c r="B23" s="247" t="s">
        <v>632</v>
      </c>
      <c r="C23" s="245" t="s">
        <v>633</v>
      </c>
      <c r="F23" s="342">
        <f>SUM(Questionnaire!F255:F257)</f>
        <v>2638.56</v>
      </c>
      <c r="G23" s="340"/>
      <c r="H23" s="245"/>
    </row>
    <row r="24" spans="1:8">
      <c r="A24" s="468"/>
      <c r="B24" s="247" t="s">
        <v>634</v>
      </c>
      <c r="C24" s="245" t="s">
        <v>635</v>
      </c>
      <c r="F24" s="342">
        <f>Questionnaire!F233/'Calculated Factors'!E33</f>
        <v>29.855250000000002</v>
      </c>
      <c r="G24" s="340"/>
      <c r="H24" s="245"/>
    </row>
    <row r="25" spans="1:8">
      <c r="A25" s="468" t="s">
        <v>592</v>
      </c>
      <c r="B25" s="466" t="s">
        <v>596</v>
      </c>
      <c r="C25" s="245" t="s">
        <v>598</v>
      </c>
      <c r="F25" s="648">
        <f>(Questionnaire!F294+Questionnaire!F295)*'Calculated Factors'!F37</f>
        <v>1271463.4372440001</v>
      </c>
      <c r="G25" s="340" t="s">
        <v>605</v>
      </c>
      <c r="H25" s="245"/>
    </row>
    <row r="26" spans="1:8">
      <c r="A26" s="468" t="s">
        <v>599</v>
      </c>
      <c r="B26" s="466" t="s">
        <v>597</v>
      </c>
      <c r="C26" s="245" t="s">
        <v>600</v>
      </c>
      <c r="D26" s="150"/>
      <c r="E26" s="150"/>
      <c r="F26" s="573">
        <f>(Questionnaire!F301+Questionnaire!F302)*'Calculated Factors'!F37</f>
        <v>349890.31950600003</v>
      </c>
      <c r="G26" s="340" t="s">
        <v>605</v>
      </c>
      <c r="H26" s="245"/>
    </row>
    <row r="27" spans="1:8">
      <c r="B27" s="247" t="s">
        <v>636</v>
      </c>
      <c r="C27" s="245" t="s">
        <v>637</v>
      </c>
      <c r="E27" s="150"/>
      <c r="F27" s="342">
        <f>SUM(Questionnaire!F251:I251)/$E$33</f>
        <v>0</v>
      </c>
      <c r="G27" s="341" t="s">
        <v>457</v>
      </c>
    </row>
    <row r="28" spans="1:8">
      <c r="B28" s="247" t="s">
        <v>784</v>
      </c>
      <c r="C28" s="245" t="s">
        <v>785</v>
      </c>
      <c r="E28" s="150"/>
      <c r="F28" s="220">
        <f>SUM(Questionnaire!F268:F270)+SUM(Questionnaire!F292:F293)+SUM(Questionnaire!F294:I294)+Questionnaire!F295+SUM(Questionnaire!F301:F302)+SUM(Questionnaire!F307:F308)+Questionnaire!F310</f>
        <v>3800141.45</v>
      </c>
    </row>
    <row r="29" spans="1:8">
      <c r="B29" s="245"/>
      <c r="C29" s="245"/>
      <c r="E29" s="150"/>
      <c r="F29" s="245"/>
    </row>
    <row r="30" spans="1:8">
      <c r="B30" s="147" t="s">
        <v>407</v>
      </c>
      <c r="D30" s="236"/>
      <c r="E30" s="236"/>
      <c r="F30" s="344"/>
    </row>
    <row r="31" spans="1:8">
      <c r="D31" s="148"/>
      <c r="E31" s="148"/>
      <c r="F31" s="345"/>
    </row>
    <row r="32" spans="1:8">
      <c r="B32" s="149" t="s">
        <v>406</v>
      </c>
      <c r="C32" s="143" t="s">
        <v>405</v>
      </c>
      <c r="E32" s="173">
        <f>24*365</f>
        <v>8760</v>
      </c>
      <c r="F32" s="341" t="s">
        <v>460</v>
      </c>
    </row>
    <row r="33" spans="2:9">
      <c r="B33" s="149" t="s">
        <v>404</v>
      </c>
      <c r="C33" s="143" t="s">
        <v>403</v>
      </c>
      <c r="E33" s="173">
        <v>2000</v>
      </c>
      <c r="F33" s="341" t="s">
        <v>460</v>
      </c>
    </row>
    <row r="34" spans="2:9">
      <c r="E34" s="241"/>
      <c r="F34" s="346"/>
    </row>
    <row r="35" spans="2:9">
      <c r="B35" s="147" t="s">
        <v>461</v>
      </c>
      <c r="E35" s="148"/>
      <c r="F35" s="345"/>
    </row>
    <row r="36" spans="2:9">
      <c r="E36" s="241" t="s">
        <v>629</v>
      </c>
      <c r="F36" s="346" t="s">
        <v>630</v>
      </c>
    </row>
    <row r="37" spans="2:9" ht="58.5" customHeight="1">
      <c r="B37" s="152" t="s">
        <v>459</v>
      </c>
      <c r="C37" s="143" t="s">
        <v>462</v>
      </c>
      <c r="E37" s="153" t="str">
        <f>Questionnaire!D54</f>
        <v>USD</v>
      </c>
      <c r="F37" s="552">
        <v>1.0374000000000001</v>
      </c>
      <c r="G37" s="471" t="s">
        <v>768</v>
      </c>
      <c r="H37" s="761" t="s">
        <v>769</v>
      </c>
      <c r="I37" s="761"/>
    </row>
    <row r="38" spans="2:9">
      <c r="F38" s="143"/>
    </row>
    <row r="39" spans="2:9" ht="15.75">
      <c r="B39" s="93" t="s">
        <v>372</v>
      </c>
      <c r="E39" s="301">
        <f>Questionnaire!F215</f>
        <v>0</v>
      </c>
      <c r="F39" s="347">
        <f>E39*F37</f>
        <v>0</v>
      </c>
      <c r="G39" s="340" t="s">
        <v>605</v>
      </c>
    </row>
    <row r="40" spans="2:9" ht="15.75">
      <c r="B40" s="93" t="s">
        <v>200</v>
      </c>
      <c r="C40" s="245"/>
      <c r="E40" s="301">
        <f>Questionnaire!F272</f>
        <v>2227954</v>
      </c>
      <c r="F40" s="347">
        <f>Questionnaire!F272*'Calculated Factors'!F37</f>
        <v>2311279.4796000002</v>
      </c>
      <c r="G40" s="340" t="s">
        <v>605</v>
      </c>
    </row>
    <row r="42" spans="2:9">
      <c r="B42" s="147" t="s">
        <v>601</v>
      </c>
    </row>
    <row r="43" spans="2:9">
      <c r="E43" s="150"/>
    </row>
    <row r="44" spans="2:9" ht="15.75">
      <c r="B44" s="242" t="s">
        <v>131</v>
      </c>
      <c r="F44" s="340" t="s">
        <v>591</v>
      </c>
      <c r="G44" s="340" t="s">
        <v>590</v>
      </c>
    </row>
    <row r="45" spans="2:9" ht="15.75">
      <c r="B45" s="133" t="s">
        <v>129</v>
      </c>
      <c r="C45" s="245" t="s">
        <v>609</v>
      </c>
      <c r="E45" s="302">
        <f>IF(Questionnaire!J124="L", 1, IF(Questionnaire!J124="kL", 1000, IF(Questionnaire!J124="ML", 1000000)))</f>
        <v>1</v>
      </c>
      <c r="F45" s="348">
        <f>(Questionnaire!F124)*E45</f>
        <v>1574367</v>
      </c>
      <c r="G45" s="349">
        <f>SUM(Questionnaire!F124:I124)*E45</f>
        <v>1574367</v>
      </c>
      <c r="H45" s="245" t="s">
        <v>83</v>
      </c>
    </row>
    <row r="46" spans="2:9" ht="15.75">
      <c r="B46" s="133" t="s">
        <v>332</v>
      </c>
      <c r="C46" s="245" t="s">
        <v>609</v>
      </c>
      <c r="E46" s="302">
        <f>IF(Questionnaire!J125="L", 1, IF(Questionnaire!J125="kL", 1000, IF(Questionnaire!J125="ML", 1000000)))</f>
        <v>1</v>
      </c>
      <c r="F46" s="348">
        <f>(Questionnaire!F125)*E46</f>
        <v>0</v>
      </c>
      <c r="G46" s="349">
        <f>SUM(Questionnaire!F125:I125)*E46</f>
        <v>0</v>
      </c>
      <c r="H46" s="245" t="s">
        <v>83</v>
      </c>
    </row>
    <row r="47" spans="2:9" ht="15.75">
      <c r="B47" s="133" t="s">
        <v>333</v>
      </c>
      <c r="C47" s="245" t="s">
        <v>609</v>
      </c>
      <c r="E47" s="302">
        <f>IF(Questionnaire!J126="L", 1, IF(Questionnaire!J126="kL", 1000, IF(Questionnaire!J126="ML", 1000000)))</f>
        <v>1</v>
      </c>
      <c r="F47" s="348">
        <f>(Questionnaire!F126)*E47</f>
        <v>0</v>
      </c>
      <c r="G47" s="349">
        <f>SUM(Questionnaire!F126:I126)*E47</f>
        <v>0</v>
      </c>
      <c r="H47" s="245" t="s">
        <v>83</v>
      </c>
    </row>
    <row r="48" spans="2:9" ht="15.75">
      <c r="B48" s="133" t="s">
        <v>130</v>
      </c>
      <c r="C48" s="245" t="s">
        <v>609</v>
      </c>
      <c r="E48" s="302">
        <f>IF(Questionnaire!J127="L", 1, IF(Questionnaire!J127="kL", 1000, IF(Questionnaire!J127="ML", 10000000)))</f>
        <v>1</v>
      </c>
      <c r="F48" s="348">
        <f>(Questionnaire!F127)*E48</f>
        <v>0</v>
      </c>
      <c r="G48" s="349">
        <f>SUM(Questionnaire!F127:I127)*E48</f>
        <v>0</v>
      </c>
      <c r="H48" s="245" t="s">
        <v>83</v>
      </c>
    </row>
    <row r="49" spans="2:8" ht="15.75">
      <c r="B49" s="133" t="s">
        <v>334</v>
      </c>
      <c r="C49" s="245" t="s">
        <v>609</v>
      </c>
      <c r="E49" s="302">
        <f>IF(Questionnaire!J128="L", 1, IF(Questionnaire!J128="kL", 1000, IF(Questionnaire!J128="ML", 1000000)))</f>
        <v>1</v>
      </c>
      <c r="F49" s="348">
        <f>(Questionnaire!F128)*E49</f>
        <v>0</v>
      </c>
      <c r="G49" s="349">
        <f>SUM(Questionnaire!F128:I128)*E49</f>
        <v>0</v>
      </c>
      <c r="H49" s="245" t="s">
        <v>83</v>
      </c>
    </row>
    <row r="51" spans="2:8" ht="15.75">
      <c r="B51" s="244" t="s">
        <v>578</v>
      </c>
    </row>
    <row r="52" spans="2:8" ht="15.75">
      <c r="B52" s="207" t="s">
        <v>129</v>
      </c>
      <c r="C52" s="245" t="s">
        <v>602</v>
      </c>
      <c r="E52" s="302">
        <f>IF(Questionnaire!J131="kg", 1, IF(Questionnaire!J131="tonnes (metric tons)", 1000))</f>
        <v>1</v>
      </c>
      <c r="F52" s="348">
        <f>(Questionnaire!F131)*E52</f>
        <v>0</v>
      </c>
      <c r="G52" s="349">
        <f>SUM(Questionnaire!F131:I131)*E52</f>
        <v>0</v>
      </c>
      <c r="H52" s="245" t="s">
        <v>65</v>
      </c>
    </row>
    <row r="53" spans="2:8" ht="15.75">
      <c r="B53" s="207" t="s">
        <v>332</v>
      </c>
      <c r="C53" s="245" t="s">
        <v>618</v>
      </c>
      <c r="E53" s="302">
        <f>IF(Questionnaire!J132="kg", 1, IF(Questionnaire!J132="tonnes (metric tons)", 1000))</f>
        <v>1</v>
      </c>
      <c r="F53" s="348">
        <f>(Questionnaire!F132)*E53</f>
        <v>0</v>
      </c>
      <c r="G53" s="349">
        <f>SUM(Questionnaire!F132:I132)*E53</f>
        <v>0</v>
      </c>
      <c r="H53" s="245" t="s">
        <v>65</v>
      </c>
    </row>
    <row r="54" spans="2:8" ht="15.75">
      <c r="B54" s="207" t="s">
        <v>333</v>
      </c>
      <c r="C54" s="245" t="s">
        <v>603</v>
      </c>
      <c r="E54" s="302">
        <f>IF(Questionnaire!J133="kg", 1, IF(Questionnaire!J133="tonnes (metric tons)", 1000))</f>
        <v>1</v>
      </c>
      <c r="F54" s="348">
        <f>(Questionnaire!F133)*E54</f>
        <v>0</v>
      </c>
      <c r="G54" s="349">
        <f>SUM(Questionnaire!F133:I133)*E54</f>
        <v>0</v>
      </c>
      <c r="H54" s="245" t="s">
        <v>65</v>
      </c>
    </row>
    <row r="55" spans="2:8" ht="15.75">
      <c r="B55" s="207" t="s">
        <v>130</v>
      </c>
      <c r="C55" s="245" t="s">
        <v>603</v>
      </c>
      <c r="E55" s="302">
        <f>IF(Questionnaire!J134="kg", 1, IF(Questionnaire!J134="tonnes (metric tons)", 1000))</f>
        <v>1</v>
      </c>
      <c r="F55" s="348">
        <f>(Questionnaire!F134)*E55</f>
        <v>0</v>
      </c>
      <c r="G55" s="349">
        <f>SUM(Questionnaire!F134:I134)*E55</f>
        <v>0</v>
      </c>
      <c r="H55" s="245" t="s">
        <v>65</v>
      </c>
    </row>
    <row r="56" spans="2:8" ht="15.75">
      <c r="B56" s="207" t="s">
        <v>334</v>
      </c>
      <c r="C56" s="245" t="s">
        <v>603</v>
      </c>
      <c r="E56" s="302">
        <f>IF(Questionnaire!J135="kg", 1, IF(Questionnaire!J135="tonnes (metric tons)", 1000))</f>
        <v>1</v>
      </c>
      <c r="F56" s="348">
        <f>(Questionnaire!F135)*E56</f>
        <v>0</v>
      </c>
      <c r="G56" s="349">
        <f>SUM(Questionnaire!F135:I135)*E56</f>
        <v>0</v>
      </c>
      <c r="H56" s="245" t="s">
        <v>65</v>
      </c>
    </row>
    <row r="58" spans="2:8">
      <c r="B58" s="97" t="s">
        <v>156</v>
      </c>
      <c r="C58" s="245" t="s">
        <v>609</v>
      </c>
      <c r="E58" s="302">
        <f>IF(Questionnaire!J139="L", 1, IF(Questionnaire!J139="kL", 1000, IF(Questionnaire!J139="ML", 1000000)))</f>
        <v>1</v>
      </c>
      <c r="F58" s="573">
        <f>(Questionnaire!F139)*E58</f>
        <v>5900</v>
      </c>
      <c r="G58" s="574">
        <f>SUM(Questionnaire!F139:I139)*E58</f>
        <v>5900</v>
      </c>
      <c r="H58" s="245" t="s">
        <v>83</v>
      </c>
    </row>
    <row r="59" spans="2:8">
      <c r="E59" s="250"/>
    </row>
    <row r="60" spans="2:8">
      <c r="B60" s="97" t="s">
        <v>86</v>
      </c>
      <c r="C60" s="245" t="s">
        <v>604</v>
      </c>
      <c r="E60" s="302" t="b">
        <f>IF(Questionnaire!G169="km", 1, IF(Questionnaire!G169="miles", 1.609344))</f>
        <v>0</v>
      </c>
      <c r="F60" s="350">
        <f>(Questionnaire!F169)*E60</f>
        <v>0</v>
      </c>
      <c r="G60" s="351" t="s">
        <v>96</v>
      </c>
    </row>
    <row r="61" spans="2:8">
      <c r="E61" s="250"/>
    </row>
    <row r="62" spans="2:8">
      <c r="B62" s="97" t="s">
        <v>87</v>
      </c>
      <c r="C62" s="245" t="s">
        <v>604</v>
      </c>
      <c r="E62" s="302">
        <f>IF(Questionnaire!G183="km", 1, IF(Questionnaire!G183="miles", 1.609344))</f>
        <v>1.6093440000000001</v>
      </c>
      <c r="F62" s="350">
        <f>(Questionnaire!F183)*E62</f>
        <v>72.420479999999998</v>
      </c>
      <c r="G62" s="351" t="s">
        <v>96</v>
      </c>
    </row>
  </sheetData>
  <sheetProtection sheet="1" objects="1" scenarios="1"/>
  <customSheetViews>
    <customSheetView guid="{9FA5A1E5-0041-4CF2-96F3-E68C0E78B62E}" showPageBreaks="1" printArea="1" hiddenColumns="1" view="pageBreakPreview" topLeftCell="C1">
      <selection activeCell="F21" sqref="F21"/>
      <rowBreaks count="1" manualBreakCount="1">
        <brk id="62" max="13" man="1"/>
      </rowBreaks>
      <pageMargins left="0.7" right="0.7" top="0.48" bottom="0.48" header="0.3" footer="0.3"/>
      <pageSetup paperSize="8" scale="76" orientation="landscape" r:id="rId1"/>
    </customSheetView>
    <customSheetView guid="{9105A0FE-F516-45E7-BB15-EE4CC4A8DCAA}" showPageBreaks="1" printArea="1" hiddenColumns="1" view="pageBreakPreview" topLeftCell="C1">
      <selection activeCell="F27" sqref="F27"/>
      <rowBreaks count="1" manualBreakCount="1">
        <brk id="62" max="13" man="1"/>
      </rowBreaks>
      <pageMargins left="0.7" right="0.7" top="0.48" bottom="0.48" header="0.3" footer="0.3"/>
      <pageSetup paperSize="8" scale="76" orientation="landscape" r:id="rId2"/>
    </customSheetView>
    <customSheetView guid="{70876BBE-780D-4266-8AA2-8D4502B62343}" showPageBreaks="1" printArea="1" hiddenColumns="1" view="pageBreakPreview" topLeftCell="C1">
      <selection activeCell="F21" sqref="F21"/>
      <rowBreaks count="1" manualBreakCount="1">
        <brk id="62" max="13" man="1"/>
      </rowBreaks>
      <pageMargins left="0.7" right="0.7" top="0.48" bottom="0.48" header="0.3" footer="0.3"/>
      <pageSetup paperSize="8" scale="76" orientation="landscape" r:id="rId3"/>
    </customSheetView>
  </customSheetViews>
  <mergeCells count="1">
    <mergeCell ref="H37:I37"/>
  </mergeCells>
  <phoneticPr fontId="0" type="noConversion"/>
  <pageMargins left="0.7" right="0.7" top="0.48" bottom="0.48" header="0.3" footer="0.3"/>
  <pageSetup paperSize="8" scale="76" orientation="landscape" r:id="rId4"/>
  <rowBreaks count="1" manualBreakCount="1">
    <brk id="62" max="13" man="1"/>
  </rowBreaks>
  <legacyDrawing r:id="rId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AC23"/>
  <sheetViews>
    <sheetView workbookViewId="0">
      <selection activeCell="F10" sqref="F10:N14"/>
    </sheetView>
  </sheetViews>
  <sheetFormatPr defaultColWidth="9.140625" defaultRowHeight="12.75"/>
  <cols>
    <col min="1" max="1" width="11.42578125" customWidth="1"/>
    <col min="2" max="2" width="33.140625" style="24" customWidth="1"/>
    <col min="3" max="3" width="8" customWidth="1"/>
    <col min="4" max="4" width="25.140625" style="24" customWidth="1"/>
    <col min="5" max="5" width="0.85546875" customWidth="1"/>
    <col min="6" max="6" width="7.7109375" customWidth="1"/>
    <col min="7" max="7" width="7.28515625" customWidth="1"/>
    <col min="8" max="8" width="8.42578125" customWidth="1"/>
    <col min="9" max="9" width="9.28515625" customWidth="1"/>
    <col min="10" max="10" width="5.85546875" customWidth="1"/>
    <col min="11" max="11" width="5.7109375" customWidth="1"/>
    <col min="12" max="12" width="7.42578125" customWidth="1"/>
    <col min="13" max="13" width="6.28515625" customWidth="1"/>
    <col min="14" max="14" width="8.140625" customWidth="1"/>
  </cols>
  <sheetData>
    <row r="1" spans="1:15">
      <c r="A1" s="426"/>
      <c r="O1" s="426"/>
    </row>
    <row r="2" spans="1:15" s="7" customFormat="1" ht="31.5">
      <c r="B2" s="417" t="s">
        <v>71</v>
      </c>
      <c r="C2" s="418"/>
      <c r="D2" s="419"/>
      <c r="E2" s="418"/>
      <c r="F2" s="418"/>
      <c r="G2" s="418"/>
      <c r="H2" s="418"/>
      <c r="I2" s="418"/>
      <c r="J2" s="420"/>
      <c r="K2" s="421"/>
      <c r="L2" s="422"/>
      <c r="M2" s="421"/>
      <c r="N2" s="421"/>
      <c r="O2" s="421"/>
    </row>
    <row r="3" spans="1:15" ht="6.75" customHeight="1">
      <c r="B3" s="423"/>
      <c r="C3" s="424"/>
      <c r="D3" s="419"/>
      <c r="E3" s="418"/>
      <c r="F3" s="418"/>
      <c r="G3" s="418"/>
      <c r="H3" s="418"/>
      <c r="I3" s="418"/>
      <c r="J3" s="425"/>
      <c r="K3" s="426"/>
      <c r="L3" s="426"/>
      <c r="M3" s="426"/>
      <c r="N3" s="421"/>
      <c r="O3" s="426"/>
    </row>
    <row r="4" spans="1:15">
      <c r="B4" s="427" t="s">
        <v>30</v>
      </c>
      <c r="C4" s="428" t="s">
        <v>325</v>
      </c>
      <c r="D4" s="429" t="s">
        <v>34</v>
      </c>
      <c r="E4" s="430"/>
      <c r="F4" s="426"/>
      <c r="G4" s="426"/>
      <c r="H4" s="426"/>
      <c r="I4" s="426"/>
      <c r="J4" s="425"/>
      <c r="K4" s="426"/>
      <c r="L4" s="426"/>
      <c r="M4" s="426"/>
      <c r="N4" s="426"/>
      <c r="O4" s="426"/>
    </row>
    <row r="5" spans="1:15" ht="13.5">
      <c r="B5" s="427" t="s">
        <v>31</v>
      </c>
      <c r="C5" s="428" t="s">
        <v>27</v>
      </c>
      <c r="D5" s="429" t="s">
        <v>35</v>
      </c>
      <c r="E5" s="430"/>
      <c r="F5" s="431"/>
      <c r="G5" s="431"/>
      <c r="H5" s="432"/>
      <c r="I5" s="433"/>
      <c r="J5" s="432"/>
      <c r="K5" s="432"/>
      <c r="L5" s="432"/>
      <c r="M5" s="432"/>
      <c r="N5" s="432"/>
      <c r="O5" s="426"/>
    </row>
    <row r="6" spans="1:15" ht="13.5">
      <c r="B6" s="427" t="s">
        <v>32</v>
      </c>
      <c r="C6" s="428" t="s">
        <v>28</v>
      </c>
      <c r="D6" s="429" t="s">
        <v>36</v>
      </c>
      <c r="E6" s="430"/>
      <c r="F6" s="431"/>
      <c r="G6" s="431"/>
      <c r="H6" s="432"/>
      <c r="I6" s="432"/>
      <c r="J6" s="432"/>
      <c r="K6" s="432"/>
      <c r="L6" s="432"/>
      <c r="M6" s="432"/>
      <c r="N6" s="432"/>
      <c r="O6" s="426"/>
    </row>
    <row r="7" spans="1:15" ht="13.5">
      <c r="B7" s="427" t="s">
        <v>33</v>
      </c>
      <c r="C7" s="428" t="s">
        <v>29</v>
      </c>
      <c r="D7" s="429" t="s">
        <v>37</v>
      </c>
      <c r="E7" s="430"/>
      <c r="F7" s="431"/>
      <c r="G7" s="431"/>
      <c r="H7" s="432"/>
      <c r="I7" s="433"/>
      <c r="J7" s="432"/>
      <c r="K7" s="432"/>
      <c r="L7" s="432"/>
      <c r="M7" s="432"/>
      <c r="N7" s="432"/>
      <c r="O7" s="426"/>
    </row>
    <row r="8" spans="1:15" ht="13.5" customHeight="1">
      <c r="B8" s="427" t="s">
        <v>24</v>
      </c>
      <c r="C8" s="428" t="s">
        <v>26</v>
      </c>
      <c r="D8" s="429"/>
      <c r="E8" s="434"/>
      <c r="F8" s="763" t="s">
        <v>715</v>
      </c>
      <c r="G8" s="763"/>
      <c r="H8" s="763"/>
      <c r="I8" s="763"/>
      <c r="J8" s="763"/>
      <c r="K8" s="763"/>
      <c r="L8" s="763"/>
      <c r="M8" s="763"/>
      <c r="N8" s="763"/>
      <c r="O8" s="763"/>
    </row>
    <row r="9" spans="1:15" ht="13.5">
      <c r="B9" s="427" t="s">
        <v>20</v>
      </c>
      <c r="C9" s="428" t="s">
        <v>46</v>
      </c>
      <c r="D9" s="429"/>
      <c r="E9" s="434"/>
      <c r="F9" s="435"/>
      <c r="G9" s="435"/>
      <c r="H9" s="436"/>
      <c r="I9" s="437"/>
      <c r="J9" s="436"/>
      <c r="K9" s="436"/>
      <c r="L9" s="436"/>
      <c r="M9" s="436"/>
      <c r="N9" s="436"/>
      <c r="O9" s="421"/>
    </row>
    <row r="10" spans="1:15" ht="35.25" customHeight="1">
      <c r="B10" s="427" t="s">
        <v>23</v>
      </c>
      <c r="C10" s="428" t="s">
        <v>25</v>
      </c>
      <c r="D10" s="429" t="s">
        <v>47</v>
      </c>
      <c r="E10" s="434"/>
      <c r="F10" s="764" t="s">
        <v>51</v>
      </c>
      <c r="G10" s="764" t="s">
        <v>52</v>
      </c>
      <c r="H10" s="438" t="s">
        <v>53</v>
      </c>
      <c r="I10" s="439" t="s">
        <v>53</v>
      </c>
      <c r="J10" s="766" t="s">
        <v>57</v>
      </c>
      <c r="K10" s="767"/>
      <c r="L10" s="440" t="s">
        <v>58</v>
      </c>
      <c r="M10" s="768" t="s">
        <v>69</v>
      </c>
      <c r="N10" s="769"/>
      <c r="O10" s="421"/>
    </row>
    <row r="11" spans="1:15" ht="12.75" customHeight="1">
      <c r="B11" s="427"/>
      <c r="C11" s="434"/>
      <c r="D11" s="429"/>
      <c r="E11" s="441"/>
      <c r="F11" s="765"/>
      <c r="G11" s="765"/>
      <c r="H11" s="442" t="s">
        <v>54</v>
      </c>
      <c r="I11" s="442" t="s">
        <v>54</v>
      </c>
      <c r="J11" s="443" t="s">
        <v>66</v>
      </c>
      <c r="K11" s="444" t="s">
        <v>64</v>
      </c>
      <c r="L11" s="443" t="s">
        <v>59</v>
      </c>
      <c r="M11" s="770"/>
      <c r="N11" s="771"/>
      <c r="O11" s="421"/>
    </row>
    <row r="12" spans="1:15" ht="26.25" customHeight="1">
      <c r="B12" s="427" t="s">
        <v>48</v>
      </c>
      <c r="C12" s="428" t="s">
        <v>44</v>
      </c>
      <c r="D12" s="429" t="s">
        <v>45</v>
      </c>
      <c r="E12" s="434"/>
      <c r="F12" s="765"/>
      <c r="G12" s="765"/>
      <c r="H12" s="444" t="s">
        <v>55</v>
      </c>
      <c r="I12" s="443" t="s">
        <v>56</v>
      </c>
      <c r="J12" s="443" t="s">
        <v>65</v>
      </c>
      <c r="K12" s="444" t="s">
        <v>63</v>
      </c>
      <c r="L12" s="443" t="s">
        <v>60</v>
      </c>
      <c r="M12" s="443" t="s">
        <v>61</v>
      </c>
      <c r="N12" s="445" t="s">
        <v>62</v>
      </c>
      <c r="O12" s="421"/>
    </row>
    <row r="13" spans="1:15" ht="26.25" customHeight="1">
      <c r="B13" s="427" t="s">
        <v>40</v>
      </c>
      <c r="C13" s="434"/>
      <c r="D13" s="429"/>
      <c r="E13" s="434"/>
      <c r="F13" s="446" t="s">
        <v>68</v>
      </c>
      <c r="G13" s="446" t="s">
        <v>50</v>
      </c>
      <c r="H13" s="447">
        <v>0.9</v>
      </c>
      <c r="I13" s="448">
        <v>1110</v>
      </c>
      <c r="J13" s="446">
        <v>44.5</v>
      </c>
      <c r="K13" s="447">
        <v>40.1</v>
      </c>
      <c r="L13" s="446">
        <v>1.04</v>
      </c>
      <c r="M13" s="446">
        <v>81.5</v>
      </c>
      <c r="N13" s="449">
        <v>3.4</v>
      </c>
      <c r="O13" s="421"/>
    </row>
    <row r="14" spans="1:15" ht="25.5">
      <c r="B14" s="427" t="s">
        <v>38</v>
      </c>
      <c r="C14" s="426"/>
      <c r="D14" s="450"/>
      <c r="E14" s="451"/>
      <c r="F14" s="452" t="s">
        <v>67</v>
      </c>
      <c r="G14" s="452" t="s">
        <v>50</v>
      </c>
      <c r="H14" s="453">
        <v>0.84</v>
      </c>
      <c r="I14" s="454">
        <v>1190</v>
      </c>
      <c r="J14" s="452">
        <v>46</v>
      </c>
      <c r="K14" s="453">
        <v>38.6</v>
      </c>
      <c r="L14" s="452">
        <v>1.08</v>
      </c>
      <c r="M14" s="452">
        <v>70.400000000000006</v>
      </c>
      <c r="N14" s="455">
        <v>2.7</v>
      </c>
      <c r="O14" s="421"/>
    </row>
    <row r="15" spans="1:15">
      <c r="B15" s="427" t="s">
        <v>39</v>
      </c>
      <c r="C15" s="426"/>
      <c r="D15" s="450"/>
      <c r="E15" s="451"/>
      <c r="F15" s="421"/>
      <c r="G15" s="421"/>
      <c r="H15" s="421"/>
      <c r="I15" s="421"/>
      <c r="J15" s="420"/>
      <c r="K15" s="421"/>
      <c r="L15" s="421"/>
      <c r="M15" s="421"/>
      <c r="N15" s="421"/>
      <c r="O15" s="421"/>
    </row>
    <row r="16" spans="1:15" ht="25.5">
      <c r="B16" s="427" t="s">
        <v>49</v>
      </c>
      <c r="C16" s="426"/>
      <c r="D16" s="450"/>
      <c r="E16" s="451"/>
      <c r="F16" s="456" t="s">
        <v>70</v>
      </c>
      <c r="G16" s="421"/>
      <c r="H16" s="421"/>
      <c r="I16" s="421"/>
      <c r="J16" s="420"/>
      <c r="K16" s="421"/>
      <c r="L16" s="421"/>
      <c r="M16" s="421"/>
      <c r="N16" s="421"/>
      <c r="O16" s="426"/>
    </row>
    <row r="17" spans="2:29">
      <c r="B17" s="427" t="s">
        <v>525</v>
      </c>
      <c r="C17" s="457">
        <f>1/0.6214</f>
        <v>1.60926939169617</v>
      </c>
      <c r="D17" s="458" t="s">
        <v>96</v>
      </c>
      <c r="E17" s="451"/>
      <c r="F17" s="426"/>
      <c r="G17" s="426"/>
      <c r="H17" s="426"/>
      <c r="I17" s="426"/>
      <c r="J17" s="425"/>
      <c r="K17" s="426"/>
      <c r="L17" s="426"/>
      <c r="M17" s="426"/>
      <c r="N17" s="426"/>
      <c r="O17" s="426"/>
    </row>
    <row r="18" spans="2:29">
      <c r="B18" s="427"/>
      <c r="C18" s="457"/>
      <c r="D18" s="458"/>
      <c r="E18" s="451"/>
      <c r="F18" s="426"/>
      <c r="G18" s="426"/>
      <c r="H18" s="426"/>
      <c r="I18" s="426"/>
      <c r="J18" s="425"/>
      <c r="K18" s="426"/>
      <c r="L18" s="426"/>
      <c r="M18" s="426"/>
      <c r="N18" s="426"/>
      <c r="O18" s="426"/>
    </row>
    <row r="19" spans="2:29" ht="31.5">
      <c r="B19" s="417" t="s">
        <v>74</v>
      </c>
      <c r="C19" s="426"/>
      <c r="D19" s="450"/>
      <c r="E19" s="451"/>
      <c r="F19" s="426"/>
      <c r="G19" s="426"/>
      <c r="H19" s="426"/>
      <c r="I19" s="426"/>
      <c r="J19" s="425"/>
      <c r="K19" s="426"/>
      <c r="L19" s="426"/>
      <c r="M19" s="426"/>
      <c r="N19" s="426"/>
      <c r="O19" s="426"/>
    </row>
    <row r="20" spans="2:29" ht="9" customHeight="1">
      <c r="B20" s="459"/>
      <c r="C20" s="460"/>
      <c r="D20" s="459"/>
      <c r="E20" s="460"/>
      <c r="F20" s="460"/>
      <c r="G20" s="460"/>
      <c r="H20" s="460"/>
      <c r="I20" s="460"/>
      <c r="J20" s="420"/>
      <c r="K20" s="426"/>
      <c r="L20" s="426"/>
      <c r="M20" s="426"/>
      <c r="N20" s="426"/>
      <c r="O20" s="426"/>
      <c r="AC20" t="s">
        <v>72</v>
      </c>
    </row>
    <row r="21" spans="2:29" ht="40.5" customHeight="1">
      <c r="B21" s="461" t="s">
        <v>21</v>
      </c>
      <c r="C21" s="772" t="s">
        <v>13</v>
      </c>
      <c r="D21" s="772"/>
      <c r="E21" s="772"/>
      <c r="F21" s="772"/>
      <c r="G21" s="772"/>
      <c r="H21" s="772"/>
      <c r="I21" s="772"/>
      <c r="J21" s="772"/>
      <c r="K21" s="772"/>
      <c r="L21" s="772"/>
      <c r="M21" s="772"/>
      <c r="N21" s="772"/>
      <c r="O21" s="426"/>
    </row>
    <row r="22" spans="2:29" ht="30" customHeight="1">
      <c r="B22" s="462" t="s">
        <v>22</v>
      </c>
      <c r="C22" s="772" t="s">
        <v>12</v>
      </c>
      <c r="D22" s="772"/>
      <c r="E22" s="772"/>
      <c r="F22" s="772"/>
      <c r="G22" s="772"/>
      <c r="H22" s="772"/>
      <c r="I22" s="772"/>
      <c r="J22" s="772"/>
      <c r="K22" s="772"/>
      <c r="L22" s="772"/>
      <c r="M22" s="772"/>
      <c r="N22" s="772"/>
      <c r="O22" s="426"/>
    </row>
    <row r="23" spans="2:29" ht="29.25" customHeight="1">
      <c r="B23" s="401"/>
      <c r="C23" s="762"/>
      <c r="D23" s="762"/>
      <c r="E23" s="762"/>
      <c r="F23" s="762"/>
      <c r="G23" s="762"/>
      <c r="H23" s="762"/>
      <c r="I23" s="762"/>
      <c r="J23" s="762"/>
    </row>
  </sheetData>
  <sheetProtection sheet="1" objects="1" scenarios="1"/>
  <customSheetViews>
    <customSheetView guid="{9FA5A1E5-0041-4CF2-96F3-E68C0E78B62E}">
      <selection activeCell="F10" sqref="F10:N14"/>
      <pageMargins left="0.7" right="0.7" top="0.75" bottom="0.75" header="0.3" footer="0.3"/>
      <pageSetup paperSize="9" orientation="landscape"/>
    </customSheetView>
    <customSheetView guid="{9105A0FE-F516-45E7-BB15-EE4CC4A8DCAA}">
      <selection activeCell="T23" sqref="T23"/>
      <pageMargins left="0.7" right="0.7" top="0.75" bottom="0.75" header="0.3" footer="0.3"/>
      <pageSetup paperSize="9" orientation="landscape"/>
    </customSheetView>
    <customSheetView guid="{70876BBE-780D-4266-8AA2-8D4502B62343}">
      <selection activeCell="F10" sqref="F10:N14"/>
      <pageMargins left="0.7" right="0.7" top="0.75" bottom="0.75" header="0.3" footer="0.3"/>
      <pageSetup paperSize="9" orientation="landscape"/>
    </customSheetView>
  </customSheetViews>
  <mergeCells count="8">
    <mergeCell ref="C23:J23"/>
    <mergeCell ref="F8:O8"/>
    <mergeCell ref="F10:F12"/>
    <mergeCell ref="G10:G12"/>
    <mergeCell ref="J10:K10"/>
    <mergeCell ref="M10:N11"/>
    <mergeCell ref="C21:N21"/>
    <mergeCell ref="C22:N22"/>
  </mergeCells>
  <phoneticPr fontId="0" type="noConversion"/>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
  <sheetViews>
    <sheetView topLeftCell="A58" workbookViewId="0">
      <selection activeCell="W105" sqref="W105"/>
    </sheetView>
  </sheetViews>
  <sheetFormatPr defaultColWidth="9.140625" defaultRowHeight="12.75"/>
  <sheetData>
    <row r="1" spans="1:1">
      <c r="A1" s="4" t="s">
        <v>771</v>
      </c>
    </row>
  </sheetData>
  <customSheetViews>
    <customSheetView guid="{9FA5A1E5-0041-4CF2-96F3-E68C0E78B62E}" topLeftCell="A58">
      <selection activeCell="W105" sqref="W105"/>
      <pageMargins left="0.7" right="0.7" top="0.75" bottom="0.75" header="0.3" footer="0.3"/>
      <pageSetup paperSize="9" orientation="portrait"/>
    </customSheetView>
    <customSheetView guid="{9105A0FE-F516-45E7-BB15-EE4CC4A8DCAA}" topLeftCell="A43">
      <selection activeCell="Q82" sqref="Q82"/>
      <pageMargins left="0.7" right="0.7" top="0.75" bottom="0.75" header="0.3" footer="0.3"/>
      <pageSetup paperSize="9" orientation="portrait"/>
    </customSheetView>
    <customSheetView guid="{70876BBE-780D-4266-8AA2-8D4502B62343}" topLeftCell="A58">
      <selection activeCell="W105" sqref="W105"/>
      <pageMargins left="0.7" right="0.7" top="0.75" bottom="0.75" header="0.3" footer="0.3"/>
      <pageSetup paperSize="9" orientation="portrait"/>
    </customSheetView>
  </customSheetView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K41"/>
  <sheetViews>
    <sheetView tabSelected="1" topLeftCell="B1" workbookViewId="0">
      <selection activeCell="K18" sqref="K18"/>
    </sheetView>
  </sheetViews>
  <sheetFormatPr defaultColWidth="8.85546875" defaultRowHeight="12.75"/>
  <cols>
    <col min="1" max="1" width="15.7109375" style="596" customWidth="1"/>
    <col min="2" max="2" width="26.7109375" style="596" customWidth="1"/>
    <col min="3" max="3" width="11" style="596" customWidth="1"/>
    <col min="4" max="4" width="17.28515625" style="596" customWidth="1"/>
    <col min="5" max="5" width="17.7109375" style="596" customWidth="1"/>
    <col min="6" max="7" width="15.28515625" style="597" customWidth="1"/>
    <col min="8" max="8" width="25.7109375" style="596" customWidth="1"/>
    <col min="9" max="9" width="14" style="596" customWidth="1"/>
    <col min="10" max="11" width="16.7109375" style="596" customWidth="1"/>
    <col min="12" max="16384" width="8.85546875" style="596"/>
  </cols>
  <sheetData>
    <row r="1" spans="1:11">
      <c r="A1" s="621" t="s">
        <v>461</v>
      </c>
      <c r="B1" s="599"/>
      <c r="C1" s="599"/>
      <c r="D1" s="599"/>
      <c r="E1" s="599"/>
      <c r="F1" s="620"/>
      <c r="G1" s="620"/>
      <c r="H1" s="599"/>
    </row>
    <row r="2" spans="1:11">
      <c r="A2" s="599"/>
      <c r="B2" s="599"/>
      <c r="C2" s="599"/>
      <c r="D2" s="599"/>
      <c r="E2" s="599"/>
      <c r="F2" s="620"/>
      <c r="G2" s="620"/>
      <c r="H2" s="599"/>
    </row>
    <row r="3" spans="1:11">
      <c r="A3" s="599" t="s">
        <v>608</v>
      </c>
      <c r="B3" s="599"/>
      <c r="C3" s="599"/>
      <c r="D3" s="599"/>
      <c r="E3" s="599"/>
      <c r="F3" s="620"/>
      <c r="G3" s="620"/>
      <c r="H3" s="599"/>
    </row>
    <row r="4" spans="1:11">
      <c r="A4" s="599"/>
      <c r="B4" s="599"/>
      <c r="C4" s="599"/>
      <c r="D4" s="599"/>
      <c r="E4" s="599"/>
      <c r="F4" s="620"/>
      <c r="G4" s="620"/>
      <c r="H4" s="599"/>
    </row>
    <row r="5" spans="1:11" ht="38.25" customHeight="1">
      <c r="A5" s="599" t="s">
        <v>713</v>
      </c>
      <c r="B5" s="599" t="s">
        <v>659</v>
      </c>
      <c r="C5" s="619" t="s">
        <v>708</v>
      </c>
      <c r="D5" s="599" t="s">
        <v>809</v>
      </c>
      <c r="E5" s="599" t="s">
        <v>808</v>
      </c>
      <c r="F5" s="619" t="s">
        <v>714</v>
      </c>
      <c r="G5" s="619" t="s">
        <v>807</v>
      </c>
      <c r="H5" s="618" t="s">
        <v>806</v>
      </c>
    </row>
    <row r="6" spans="1:11">
      <c r="F6" s="607"/>
      <c r="G6" s="607"/>
    </row>
    <row r="7" spans="1:11" ht="18">
      <c r="A7" s="606" t="s">
        <v>658</v>
      </c>
      <c r="B7" s="605" t="s">
        <v>684</v>
      </c>
      <c r="C7" s="605" t="s">
        <v>605</v>
      </c>
      <c r="D7" s="604">
        <v>41913</v>
      </c>
      <c r="E7" s="604">
        <v>42277</v>
      </c>
      <c r="F7" s="603">
        <v>1</v>
      </c>
      <c r="G7" s="603"/>
      <c r="H7" s="602"/>
      <c r="I7" s="601"/>
      <c r="K7" s="692">
        <v>41821</v>
      </c>
    </row>
    <row r="8" spans="1:11" ht="18">
      <c r="A8" s="606" t="s">
        <v>660</v>
      </c>
      <c r="B8" s="605" t="s">
        <v>685</v>
      </c>
      <c r="C8" s="605" t="s">
        <v>605</v>
      </c>
      <c r="D8" s="604">
        <v>41913</v>
      </c>
      <c r="E8" s="604">
        <v>42277</v>
      </c>
      <c r="F8" s="603">
        <v>1</v>
      </c>
      <c r="G8" s="603"/>
      <c r="H8" s="602"/>
      <c r="I8" s="601"/>
      <c r="K8" s="692">
        <v>41913</v>
      </c>
    </row>
    <row r="9" spans="1:11" ht="18">
      <c r="A9" s="606" t="s">
        <v>661</v>
      </c>
      <c r="B9" s="605" t="s">
        <v>686</v>
      </c>
      <c r="C9" s="605" t="s">
        <v>605</v>
      </c>
      <c r="D9" s="604">
        <v>42005</v>
      </c>
      <c r="E9" s="604">
        <v>42369</v>
      </c>
      <c r="F9" s="603">
        <v>1</v>
      </c>
      <c r="G9" s="603"/>
      <c r="H9" s="602"/>
      <c r="I9" s="601"/>
      <c r="K9" s="692">
        <v>42005</v>
      </c>
    </row>
    <row r="10" spans="1:11" ht="18">
      <c r="A10" s="617" t="s">
        <v>662</v>
      </c>
      <c r="B10" s="616" t="s">
        <v>687</v>
      </c>
      <c r="C10" s="616" t="s">
        <v>626</v>
      </c>
      <c r="D10" s="615">
        <v>42005</v>
      </c>
      <c r="E10" s="615">
        <v>42369</v>
      </c>
      <c r="F10" s="614">
        <v>1.11E-2</v>
      </c>
      <c r="G10" s="614">
        <v>1.09E-2</v>
      </c>
      <c r="H10" s="614">
        <f t="shared" ref="H10:H15" si="0">+F10-G10</f>
        <v>2.0000000000000052E-4</v>
      </c>
      <c r="I10" s="601">
        <f t="shared" ref="I10:I15" si="1">(F10-G10)/F10*100</f>
        <v>1.8018018018018063</v>
      </c>
      <c r="K10" s="692"/>
    </row>
    <row r="11" spans="1:11" ht="18">
      <c r="A11" s="617" t="s">
        <v>663</v>
      </c>
      <c r="B11" s="616" t="s">
        <v>688</v>
      </c>
      <c r="C11" s="616" t="s">
        <v>626</v>
      </c>
      <c r="D11" s="615">
        <v>42005</v>
      </c>
      <c r="E11" s="615">
        <v>42369</v>
      </c>
      <c r="F11" s="614">
        <v>1.11E-2</v>
      </c>
      <c r="G11" s="614">
        <v>1.09E-2</v>
      </c>
      <c r="H11" s="614">
        <f t="shared" si="0"/>
        <v>2.0000000000000052E-4</v>
      </c>
      <c r="I11" s="601">
        <f t="shared" si="1"/>
        <v>1.8018018018018063</v>
      </c>
      <c r="K11" s="692">
        <v>42185</v>
      </c>
    </row>
    <row r="12" spans="1:11" ht="18">
      <c r="A12" s="617" t="s">
        <v>664</v>
      </c>
      <c r="B12" s="616" t="s">
        <v>689</v>
      </c>
      <c r="C12" s="616" t="s">
        <v>626</v>
      </c>
      <c r="D12" s="615">
        <v>42005</v>
      </c>
      <c r="E12" s="615">
        <v>42369</v>
      </c>
      <c r="F12" s="614">
        <v>1.11E-2</v>
      </c>
      <c r="G12" s="614">
        <v>1.09E-2</v>
      </c>
      <c r="H12" s="614">
        <f t="shared" si="0"/>
        <v>2.0000000000000052E-4</v>
      </c>
      <c r="I12" s="601">
        <f t="shared" si="1"/>
        <v>1.8018018018018063</v>
      </c>
      <c r="K12" s="692">
        <v>42277</v>
      </c>
    </row>
    <row r="13" spans="1:11" ht="18">
      <c r="A13" s="617" t="s">
        <v>665</v>
      </c>
      <c r="B13" s="616" t="s">
        <v>688</v>
      </c>
      <c r="C13" s="616" t="s">
        <v>626</v>
      </c>
      <c r="D13" s="615">
        <v>42005</v>
      </c>
      <c r="E13" s="615">
        <v>42369</v>
      </c>
      <c r="F13" s="614">
        <v>1.11E-2</v>
      </c>
      <c r="G13" s="614">
        <v>1.09E-2</v>
      </c>
      <c r="H13" s="614">
        <f t="shared" si="0"/>
        <v>2.0000000000000052E-4</v>
      </c>
      <c r="I13" s="601">
        <f t="shared" si="1"/>
        <v>1.8018018018018063</v>
      </c>
      <c r="K13" s="692">
        <v>42369</v>
      </c>
    </row>
    <row r="14" spans="1:11">
      <c r="A14" s="599" t="s">
        <v>666</v>
      </c>
      <c r="B14" s="598" t="s">
        <v>690</v>
      </c>
      <c r="C14" s="598" t="s">
        <v>711</v>
      </c>
      <c r="D14" s="608">
        <v>41821</v>
      </c>
      <c r="E14" s="608">
        <v>42185</v>
      </c>
      <c r="F14" s="613">
        <v>0.43830000000000002</v>
      </c>
      <c r="G14" s="613">
        <v>0.443</v>
      </c>
      <c r="H14" s="607">
        <f t="shared" si="0"/>
        <v>-4.699999999999982E-3</v>
      </c>
      <c r="I14" s="601">
        <f t="shared" si="1"/>
        <v>-1.0723248916267354</v>
      </c>
    </row>
    <row r="15" spans="1:11">
      <c r="A15" s="599" t="s">
        <v>667</v>
      </c>
      <c r="B15" s="598" t="s">
        <v>691</v>
      </c>
      <c r="C15" s="598" t="s">
        <v>606</v>
      </c>
      <c r="D15" s="608">
        <v>42005</v>
      </c>
      <c r="E15" s="608">
        <v>42369</v>
      </c>
      <c r="F15" s="613">
        <v>0.56999999999999995</v>
      </c>
      <c r="G15" s="613">
        <v>0.56220000000000003</v>
      </c>
      <c r="H15" s="607">
        <f t="shared" si="0"/>
        <v>7.7999999999999181E-3</v>
      </c>
      <c r="I15" s="601">
        <f t="shared" si="1"/>
        <v>1.3684210526315648</v>
      </c>
    </row>
    <row r="16" spans="1:11">
      <c r="A16" s="606" t="s">
        <v>668</v>
      </c>
      <c r="B16" s="605" t="s">
        <v>692</v>
      </c>
      <c r="C16" s="605" t="s">
        <v>605</v>
      </c>
      <c r="D16" s="604">
        <v>41913</v>
      </c>
      <c r="E16" s="604">
        <v>42277</v>
      </c>
      <c r="F16" s="603">
        <v>1</v>
      </c>
      <c r="G16" s="603"/>
      <c r="H16" s="602"/>
      <c r="I16" s="601"/>
    </row>
    <row r="17" spans="1:9">
      <c r="A17" s="606" t="s">
        <v>669</v>
      </c>
      <c r="B17" s="605" t="s">
        <v>693</v>
      </c>
      <c r="C17" s="605" t="s">
        <v>605</v>
      </c>
      <c r="D17" s="604">
        <v>41913</v>
      </c>
      <c r="E17" s="604">
        <v>42277</v>
      </c>
      <c r="F17" s="603">
        <v>1</v>
      </c>
      <c r="G17" s="603"/>
      <c r="H17" s="602"/>
      <c r="I17" s="601"/>
    </row>
    <row r="18" spans="1:9">
      <c r="A18" s="606" t="s">
        <v>670</v>
      </c>
      <c r="B18" s="605" t="s">
        <v>694</v>
      </c>
      <c r="C18" s="605" t="s">
        <v>605</v>
      </c>
      <c r="D18" s="604">
        <v>41913</v>
      </c>
      <c r="E18" s="604">
        <v>42277</v>
      </c>
      <c r="F18" s="603">
        <v>1</v>
      </c>
      <c r="G18" s="603"/>
      <c r="H18" s="602"/>
      <c r="I18" s="601"/>
    </row>
    <row r="19" spans="1:9">
      <c r="A19" s="606" t="s">
        <v>671</v>
      </c>
      <c r="B19" s="605" t="s">
        <v>695</v>
      </c>
      <c r="C19" s="605" t="s">
        <v>605</v>
      </c>
      <c r="D19" s="604">
        <v>41913</v>
      </c>
      <c r="E19" s="604">
        <v>42277</v>
      </c>
      <c r="F19" s="603">
        <v>1</v>
      </c>
      <c r="G19" s="603"/>
      <c r="H19" s="602"/>
      <c r="I19" s="601"/>
    </row>
    <row r="20" spans="1:9">
      <c r="A20" s="599" t="s">
        <v>672</v>
      </c>
      <c r="B20" s="598" t="s">
        <v>696</v>
      </c>
      <c r="C20" s="598" t="s">
        <v>625</v>
      </c>
      <c r="D20" s="608">
        <v>41913</v>
      </c>
      <c r="E20" s="608">
        <v>42277</v>
      </c>
      <c r="F20" s="607">
        <v>0.83089999999999997</v>
      </c>
      <c r="G20" s="607">
        <v>0.79890000000000005</v>
      </c>
      <c r="H20" s="607">
        <f>+F20-G20</f>
        <v>3.1999999999999917E-2</v>
      </c>
      <c r="I20" s="601">
        <f>(F20-G20)/F20*100</f>
        <v>3.8512456372607917</v>
      </c>
    </row>
    <row r="21" spans="1:9">
      <c r="A21" s="599" t="s">
        <v>673</v>
      </c>
      <c r="B21" s="598" t="s">
        <v>697</v>
      </c>
      <c r="C21" s="598" t="s">
        <v>607</v>
      </c>
      <c r="D21" s="608">
        <v>40725</v>
      </c>
      <c r="E21" s="608">
        <v>42185</v>
      </c>
      <c r="F21" s="607">
        <v>1.0161</v>
      </c>
      <c r="G21" s="607">
        <v>1.0327</v>
      </c>
      <c r="H21" s="607">
        <f>+F21-G21</f>
        <v>-1.6599999999999948E-2</v>
      </c>
      <c r="I21" s="601">
        <f>(F21-G21)/F21*100</f>
        <v>-1.6336974707213805</v>
      </c>
    </row>
    <row r="22" spans="1:9">
      <c r="A22" s="599" t="s">
        <v>674</v>
      </c>
      <c r="B22" s="598" t="s">
        <v>698</v>
      </c>
      <c r="C22" s="598" t="s">
        <v>710</v>
      </c>
      <c r="D22" s="608">
        <v>42005</v>
      </c>
      <c r="E22" s="608">
        <v>42369</v>
      </c>
      <c r="F22" s="607">
        <v>0.5</v>
      </c>
      <c r="G22" s="607">
        <v>0.50619999999999998</v>
      </c>
      <c r="H22" s="607">
        <f>+F22-G22</f>
        <v>-6.1999999999999833E-3</v>
      </c>
      <c r="I22" s="601">
        <f>(F22-G22)/F22*100</f>
        <v>-1.2399999999999967</v>
      </c>
    </row>
    <row r="23" spans="1:9">
      <c r="A23" s="606" t="s">
        <v>675</v>
      </c>
      <c r="B23" s="605" t="s">
        <v>699</v>
      </c>
      <c r="C23" s="605" t="s">
        <v>605</v>
      </c>
      <c r="D23" s="604">
        <v>41913</v>
      </c>
      <c r="E23" s="604">
        <v>42277</v>
      </c>
      <c r="F23" s="603">
        <v>1</v>
      </c>
      <c r="G23" s="603"/>
      <c r="H23" s="602"/>
      <c r="I23" s="601"/>
    </row>
    <row r="24" spans="1:9">
      <c r="A24" s="612" t="s">
        <v>677</v>
      </c>
      <c r="B24" s="611" t="s">
        <v>700</v>
      </c>
      <c r="C24" s="611" t="s">
        <v>607</v>
      </c>
      <c r="D24" s="610">
        <v>40909</v>
      </c>
      <c r="E24" s="610">
        <v>42369</v>
      </c>
      <c r="F24" s="609">
        <v>1.0374000000000001</v>
      </c>
      <c r="G24" s="609">
        <v>1.0359</v>
      </c>
      <c r="H24" s="609">
        <f>+F24-G24</f>
        <v>1.5000000000000568E-3</v>
      </c>
      <c r="I24" s="601">
        <f>(F24-G24)/F24*100</f>
        <v>0.14459224985541322</v>
      </c>
    </row>
    <row r="25" spans="1:9">
      <c r="A25" s="606" t="s">
        <v>676</v>
      </c>
      <c r="B25" s="605" t="s">
        <v>702</v>
      </c>
      <c r="C25" s="605" t="s">
        <v>605</v>
      </c>
      <c r="D25" s="604">
        <v>41913</v>
      </c>
      <c r="E25" s="604">
        <v>42277</v>
      </c>
      <c r="F25" s="603">
        <v>1</v>
      </c>
      <c r="G25" s="603"/>
      <c r="H25" s="602"/>
      <c r="I25" s="601"/>
    </row>
    <row r="26" spans="1:9">
      <c r="A26" s="599" t="s">
        <v>678</v>
      </c>
      <c r="B26" s="598" t="s">
        <v>701</v>
      </c>
      <c r="C26" s="598" t="s">
        <v>627</v>
      </c>
      <c r="D26" s="608">
        <v>41913</v>
      </c>
      <c r="E26" s="608">
        <v>42277</v>
      </c>
      <c r="F26" s="607">
        <v>0.1482</v>
      </c>
      <c r="G26" s="607">
        <v>0.1474</v>
      </c>
      <c r="H26" s="607">
        <f>+F26-G26</f>
        <v>7.9999999999999516E-4</v>
      </c>
      <c r="I26" s="601">
        <f>(F26-G26)/F26*100</f>
        <v>0.53981106612685237</v>
      </c>
    </row>
    <row r="27" spans="1:9">
      <c r="A27" s="599" t="s">
        <v>679</v>
      </c>
      <c r="B27" s="598" t="s">
        <v>703</v>
      </c>
      <c r="C27" s="598" t="s">
        <v>625</v>
      </c>
      <c r="D27" s="608">
        <v>41821</v>
      </c>
      <c r="E27" s="608">
        <v>42185</v>
      </c>
      <c r="F27" s="607">
        <v>0.7964</v>
      </c>
      <c r="G27" s="607">
        <v>0.80510000000000004</v>
      </c>
      <c r="H27" s="607">
        <f>+F27-G27</f>
        <v>-8.700000000000041E-3</v>
      </c>
      <c r="I27" s="601">
        <f>(F27-G27)/F27*100</f>
        <v>-1.0924158714214014</v>
      </c>
    </row>
    <row r="28" spans="1:9">
      <c r="A28" s="612" t="s">
        <v>680</v>
      </c>
      <c r="B28" s="611" t="s">
        <v>704</v>
      </c>
      <c r="C28" s="611" t="s">
        <v>607</v>
      </c>
      <c r="D28" s="610">
        <v>42005</v>
      </c>
      <c r="E28" s="610">
        <v>42369</v>
      </c>
      <c r="F28" s="609">
        <v>1.0374000000000001</v>
      </c>
      <c r="G28" s="609">
        <v>1.0359</v>
      </c>
      <c r="H28" s="609">
        <f>+F28-G28</f>
        <v>1.5000000000000568E-3</v>
      </c>
      <c r="I28" s="601">
        <f>(F28-G28)/F28*100</f>
        <v>0.14459224985541322</v>
      </c>
    </row>
    <row r="29" spans="1:9">
      <c r="A29" s="599" t="s">
        <v>681</v>
      </c>
      <c r="B29" s="598" t="s">
        <v>705</v>
      </c>
      <c r="C29" s="598" t="s">
        <v>628</v>
      </c>
      <c r="D29" s="608">
        <v>41821</v>
      </c>
      <c r="E29" s="608">
        <v>42185</v>
      </c>
      <c r="F29" s="607">
        <v>0.55800000000000005</v>
      </c>
      <c r="G29" s="607">
        <v>0.58609999999999995</v>
      </c>
      <c r="H29" s="607">
        <f>+F29-G29</f>
        <v>-2.8099999999999903E-2</v>
      </c>
      <c r="I29" s="601">
        <f>(F29-G29)/F29*100</f>
        <v>-5.0358422939067919</v>
      </c>
    </row>
    <row r="30" spans="1:9">
      <c r="A30" s="599" t="s">
        <v>682</v>
      </c>
      <c r="B30" s="598" t="s">
        <v>706</v>
      </c>
      <c r="C30" s="598" t="s">
        <v>709</v>
      </c>
      <c r="D30" s="608">
        <v>42005</v>
      </c>
      <c r="E30" s="608">
        <v>42369</v>
      </c>
      <c r="F30" s="607">
        <v>1.11E-2</v>
      </c>
      <c r="G30" s="607">
        <v>1.0999999999999999E-2</v>
      </c>
      <c r="H30" s="607">
        <f>+F30-G30</f>
        <v>1.0000000000000113E-4</v>
      </c>
      <c r="I30" s="601">
        <f>(F30-G30)/F30*100</f>
        <v>0.90090090090091091</v>
      </c>
    </row>
    <row r="31" spans="1:9">
      <c r="A31" s="606" t="s">
        <v>683</v>
      </c>
      <c r="B31" s="605" t="s">
        <v>707</v>
      </c>
      <c r="C31" s="605" t="s">
        <v>605</v>
      </c>
      <c r="D31" s="604">
        <v>41913</v>
      </c>
      <c r="E31" s="604">
        <v>42277</v>
      </c>
      <c r="F31" s="603">
        <v>1</v>
      </c>
      <c r="G31" s="603"/>
      <c r="H31" s="602"/>
      <c r="I31" s="601"/>
    </row>
    <row r="32" spans="1:9">
      <c r="H32" s="600"/>
    </row>
    <row r="35" spans="1:1" s="596" customFormat="1">
      <c r="A35" s="599" t="s">
        <v>805</v>
      </c>
    </row>
    <row r="36" spans="1:1" s="596" customFormat="1">
      <c r="A36" s="598" t="s">
        <v>804</v>
      </c>
    </row>
    <row r="37" spans="1:1" s="596" customFormat="1">
      <c r="A37" s="598" t="s">
        <v>803</v>
      </c>
    </row>
    <row r="38" spans="1:1" s="596" customFormat="1">
      <c r="A38" s="598" t="s">
        <v>802</v>
      </c>
    </row>
    <row r="39" spans="1:1" s="596" customFormat="1">
      <c r="A39" s="598" t="s">
        <v>801</v>
      </c>
    </row>
    <row r="40" spans="1:1" s="596" customFormat="1">
      <c r="A40" s="598" t="s">
        <v>800</v>
      </c>
    </row>
    <row r="41" spans="1:1" s="596" customFormat="1">
      <c r="A41" s="598" t="s">
        <v>799</v>
      </c>
    </row>
  </sheetData>
  <sheetProtection sheet="1" objects="1" scenarios="1"/>
  <customSheetViews>
    <customSheetView guid="{9FA5A1E5-0041-4CF2-96F3-E68C0E78B62E}" topLeftCell="B1">
      <selection activeCell="K18" sqref="K18"/>
      <pageMargins left="0.7" right="0.7" top="0.75" bottom="0.75" header="0.3" footer="0.3"/>
      <pageSetup paperSize="9" orientation="landscape"/>
    </customSheetView>
    <customSheetView guid="{9105A0FE-F516-45E7-BB15-EE4CC4A8DCAA}" topLeftCell="B1">
      <selection activeCell="K8" sqref="K8"/>
      <pageMargins left="0.7" right="0.7" top="0.75" bottom="0.75" header="0.3" footer="0.3"/>
      <pageSetup paperSize="9" orientation="landscape"/>
    </customSheetView>
    <customSheetView guid="{70876BBE-780D-4266-8AA2-8D4502B62343}" topLeftCell="B1">
      <selection activeCell="K8" sqref="K8"/>
      <pageMargins left="0.7" right="0.7" top="0.75" bottom="0.75" header="0.3" footer="0.3"/>
      <pageSetup paperSize="9" orientation="landscape"/>
    </customSheetView>
  </customSheetViews>
  <dataValidations count="2">
    <dataValidation type="list" allowBlank="1" showInputMessage="1" showErrorMessage="1" prompt="Select start date&#10;" sqref="D7:D31">
      <formula1>$K$7:$K$9</formula1>
    </dataValidation>
    <dataValidation type="list" allowBlank="1" showInputMessage="1" showErrorMessage="1" prompt="Select end date&#10;" sqref="E7:E31">
      <formula1>$K$11:$K$13</formula1>
    </dataValidation>
  </dataValidations>
  <pageMargins left="0.7" right="0.7" top="0.75" bottom="0.75" header="0.3" footer="0.3"/>
  <pageSetup paperSize="9" orientation="landscape"/>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Questionnaire</vt:lpstr>
      <vt:lpstr>Data Reliability</vt:lpstr>
      <vt:lpstr>Governance</vt:lpstr>
      <vt:lpstr>Gender</vt:lpstr>
      <vt:lpstr>Indicators</vt:lpstr>
      <vt:lpstr>Calculated Factors</vt:lpstr>
      <vt:lpstr>Reference Unit Conversion</vt:lpstr>
      <vt:lpstr>Tariff Schedule and Taxes</vt:lpstr>
      <vt:lpstr>Currency Conversion</vt:lpstr>
      <vt:lpstr>'Calculated Factors'!Print_Area</vt:lpstr>
      <vt:lpstr>'Currency Conversion'!Print_Area</vt:lpstr>
      <vt:lpstr>'Data Reliability'!Print_Area</vt:lpstr>
      <vt:lpstr>Indicators!Print_Area</vt:lpstr>
      <vt:lpstr>Questionnaire!Print_Area</vt:lpstr>
      <vt:lpstr>'Reference Unit Conversion'!Print_Area</vt:lpstr>
      <vt:lpstr>ValidYesNo</vt:lpstr>
    </vt:vector>
  </TitlesOfParts>
  <Company>Pacific Power Association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dc:creator>
  <cp:lastModifiedBy>Greg</cp:lastModifiedBy>
  <cp:lastPrinted>2014-04-29T20:50:05Z</cp:lastPrinted>
  <dcterms:created xsi:type="dcterms:W3CDTF">2003-05-13T22:54:27Z</dcterms:created>
  <dcterms:modified xsi:type="dcterms:W3CDTF">2017-06-22T23:35:25Z</dcterms:modified>
</cp:coreProperties>
</file>